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DeTrabalho" hidePivotFieldList="1"/>
  <mc:AlternateContent xmlns:mc="http://schemas.openxmlformats.org/markup-compatibility/2006">
    <mc:Choice Requires="x15">
      <x15ac:absPath xmlns:x15ac="http://schemas.microsoft.com/office/spreadsheetml/2010/11/ac" url="S:\GEAG\PCA 2026\8ª Alteração\"/>
    </mc:Choice>
  </mc:AlternateContent>
  <xr:revisionPtr revIDLastSave="0" documentId="14_{8CE08883-5891-4BBE-9F8A-6388CE9CC3DA}" xr6:coauthVersionLast="47" xr6:coauthVersionMax="47" xr10:uidLastSave="{00000000-0000-0000-0000-000000000000}"/>
  <bookViews>
    <workbookView xWindow="28680" yWindow="-120" windowWidth="29040" windowHeight="15720" tabRatio="828" xr2:uid="{00000000-000D-0000-FFFF-FFFF00000000}"/>
  </bookViews>
  <sheets>
    <sheet name="PCA 2026 - 8ª Alteração" sheetId="17" r:id="rId1"/>
    <sheet name="1" sheetId="7" state="veryHidden" r:id="rId2"/>
  </sheets>
  <externalReferences>
    <externalReference r:id="rId3"/>
    <externalReference r:id="rId4"/>
    <externalReference r:id="rId5"/>
  </externalReferences>
  <definedNames>
    <definedName name="__AGA8">#REF!</definedName>
    <definedName name="__FON2">#REF!</definedName>
    <definedName name="__SE1">#REF!</definedName>
    <definedName name="__SE2">#REF!</definedName>
    <definedName name="__SE3">#REF!</definedName>
    <definedName name="__SE4">#REF!</definedName>
    <definedName name="__SE8">#REF!</definedName>
    <definedName name="_xlnm._FilterDatabase" localSheetId="0" hidden="1">'PCA 2026 - 8ª Alteração'!$A$16:$Z$251</definedName>
    <definedName name="_SET15">[1]LISTAS!$Y$14:$Y$17</definedName>
    <definedName name="_SET16">[1]LISTAS!$Z$14:$Z$16</definedName>
    <definedName name="_SET17">[1]LISTAS!$AA$14:$AA$16</definedName>
    <definedName name="_SET18">[1]LISTAS!$AB$14:$AB$17</definedName>
    <definedName name="_SET19">[1]LISTAS!$AC$14:$AC$15</definedName>
    <definedName name="_SET20">[1]LISTAS!$AD$14:$AD$16</definedName>
    <definedName name="_SET8">[1]LISTAS!$R$14</definedName>
    <definedName name="ABA">#REF!</definedName>
    <definedName name="ACOE">#REF!</definedName>
    <definedName name="AGA">#REF!</definedName>
    <definedName name="AGE">#REF!</definedName>
    <definedName name="_xlnm.Print_Area" localSheetId="0">'PCA 2026 - 8ª Alteração'!$B$1:$Z$263</definedName>
    <definedName name="ARH">#REF!</definedName>
    <definedName name="ASSER">#REF!</definedName>
    <definedName name="ASTEC">#REF!</definedName>
    <definedName name="CAP">#REF!</definedName>
    <definedName name="CARACDESP">#REF!</definedName>
    <definedName name="CENTO">#REF!</definedName>
    <definedName name="CENTSE">#REF!</definedName>
    <definedName name="CENTSUL">#REF!</definedName>
    <definedName name="COHAB">#REF!</definedName>
    <definedName name="CONSOL">#REF!</definedName>
    <definedName name="CONSOL2">#REF!</definedName>
    <definedName name="ECOM">#REF!</definedName>
    <definedName name="EDESP">#REF!</definedName>
    <definedName name="EDIA">#REF!</definedName>
    <definedName name="EFPA28">#REF!</definedName>
    <definedName name="EFPA80">#REF!</definedName>
    <definedName name="ENCARGOS">#REF!</definedName>
    <definedName name="EOBR">#REF!</definedName>
    <definedName name="EREP">#REF!</definedName>
    <definedName name="ESERV">#REF!</definedName>
    <definedName name="EST">#REF!</definedName>
    <definedName name="FON">#REF!</definedName>
    <definedName name="FORMEXEC">#REF!</definedName>
    <definedName name="GABINETE_SUBAD">#REF!</definedName>
    <definedName name="GABINETE_SUBAP">#REF!</definedName>
    <definedName name="GABINETE_SUBGES">#REF!</definedName>
    <definedName name="GABSEC">#REF!</definedName>
    <definedName name="GEAG">#REF!</definedName>
    <definedName name="GEAP">#REF!</definedName>
    <definedName name="GEATI">#REF!</definedName>
    <definedName name="GECADS">#REF!</definedName>
    <definedName name="GECAV">#REF!</definedName>
    <definedName name="GECOR">#REF!</definedName>
    <definedName name="GECOV">#REF!</definedName>
    <definedName name="GEDAD">#REF!</definedName>
    <definedName name="GEGABSEC">#REF!</definedName>
    <definedName name="GELIC">#REF!</definedName>
    <definedName name="GEMAN">#REF!</definedName>
    <definedName name="GEMOB">#REF!</definedName>
    <definedName name="GEPAE">[1]LISTAS!$AB$2</definedName>
    <definedName name="GEPAR">#REF!</definedName>
    <definedName name="GEPLAN">#REF!</definedName>
    <definedName name="GEREF">#REF!</definedName>
    <definedName name="GESAT">#REF!</definedName>
    <definedName name="GESIG">#REF!</definedName>
    <definedName name="GESIS">#REF!</definedName>
    <definedName name="GESUBAD">#REF!</definedName>
    <definedName name="GESUBAP">#REF!</definedName>
    <definedName name="GESUBGES">#REF!</definedName>
    <definedName name="GIG">#REF!</definedName>
    <definedName name="GPP">#REF!</definedName>
    <definedName name="GRAUPRI">#REF!</definedName>
    <definedName name="GRH">#REF!</definedName>
    <definedName name="GRUPONATDESP">#REF!</definedName>
    <definedName name="HIER">#REF!</definedName>
    <definedName name="LITSUL">#REF!</definedName>
    <definedName name="METRO">#REF!</definedName>
    <definedName name="MICRO">#REF!</definedName>
    <definedName name="NORD">#REF!</definedName>
    <definedName name="NORO">#REF!</definedName>
    <definedName name="ORGENT">#REF!</definedName>
    <definedName name="REGI1">#REF!</definedName>
    <definedName name="REGI10">#REF!</definedName>
    <definedName name="REGI11">#REF!</definedName>
    <definedName name="REGI2">#REF!</definedName>
    <definedName name="REGI3">#REF!</definedName>
    <definedName name="REGI4">#REF!</definedName>
    <definedName name="REGI5">#REF!</definedName>
    <definedName name="REGI6">#REF!</definedName>
    <definedName name="REGI7">#REF!</definedName>
    <definedName name="REGI8">#REF!</definedName>
    <definedName name="REGI9">#REF!</definedName>
    <definedName name="RIO">#REF!</definedName>
    <definedName name="SEGER">#REF!</definedName>
    <definedName name="SIARHES">#REF!</definedName>
    <definedName name="SIMNAO">#REF!</definedName>
    <definedName name="SUBACAO4251">[2]LISTAS!$M$8:$M$15</definedName>
    <definedName name="SUBACAONASS4250">[3]LISTAS!$M$5:$M$9</definedName>
    <definedName name="SUBGABSEC">#REF!</definedName>
    <definedName name="SUBSUBAD">#REF!</definedName>
    <definedName name="SUBSUBAP">#REF!</definedName>
    <definedName name="SUBSUBGES">#REF!</definedName>
    <definedName name="SUDOSE">#REF!</definedName>
    <definedName name="TIPOCONT">#REF!</definedName>
    <definedName name="TIPOCREDOR">#REF!</definedName>
    <definedName name="TIPODESP">#REF!</definedName>
    <definedName name="TIPODOC">#REF!</definedName>
    <definedName name="TIPOFONTE">#REF!</definedName>
    <definedName name="UCP">#REF!</definedName>
    <definedName name="UECI">#REF!</definedName>
    <definedName name="UG">#REF!</definedName>
    <definedName name="UNIDADE">#REF!</definedName>
    <definedName name="UNIDG">#REF!</definedName>
    <definedName name="UNIDGESDEST">#REF!</definedName>
    <definedName name="UNIDGESPROV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43" i="17" l="1"/>
  <c r="W46" i="17"/>
  <c r="W45" i="17"/>
  <c r="W63" i="17"/>
  <c r="W28" i="17"/>
  <c r="X28" i="17"/>
  <c r="W194" i="17"/>
  <c r="W214" i="17"/>
  <c r="W250" i="17"/>
  <c r="W237" i="17"/>
  <c r="W169" i="17"/>
  <c r="W158" i="17"/>
  <c r="W160" i="17"/>
  <c r="W159" i="17"/>
  <c r="X43" i="17"/>
  <c r="X42" i="17"/>
  <c r="W42" i="17"/>
  <c r="X155" i="17"/>
  <c r="W155" i="17"/>
  <c r="W202" i="17"/>
  <c r="W247" i="17"/>
  <c r="W191" i="17"/>
  <c r="W190" i="17"/>
  <c r="W204" i="17"/>
  <c r="W188" i="17"/>
  <c r="W186" i="17"/>
  <c r="W193" i="17"/>
  <c r="W192" i="17"/>
  <c r="W166" i="17"/>
  <c r="W246" i="17" l="1"/>
  <c r="W223" i="17"/>
  <c r="W200" i="17"/>
  <c r="W172" i="17"/>
  <c r="R242" i="17" l="1"/>
  <c r="R211" i="17"/>
  <c r="R192" i="17"/>
  <c r="R164" i="17"/>
  <c r="W184" i="17"/>
  <c r="W213" i="17" l="1"/>
  <c r="W140" i="17" l="1"/>
  <c r="W215" i="17"/>
  <c r="R215" i="17" s="1"/>
  <c r="W126" i="17" l="1"/>
  <c r="W125" i="17"/>
  <c r="W127" i="17"/>
  <c r="W222" i="17"/>
  <c r="W221" i="17"/>
  <c r="R221" i="17" s="1"/>
  <c r="W220" i="17"/>
  <c r="W219" i="17"/>
  <c r="R219" i="17" s="1"/>
  <c r="W231" i="17"/>
  <c r="W207" i="17"/>
  <c r="W206" i="17"/>
  <c r="R206" i="17" s="1"/>
  <c r="W77" i="17" l="1"/>
  <c r="W241" i="17" l="1"/>
  <c r="W189" i="17"/>
  <c r="W82" i="17" l="1"/>
  <c r="W83" i="17"/>
  <c r="W135" i="17"/>
  <c r="W25" i="17"/>
  <c r="W156" i="17"/>
  <c r="W217" i="17"/>
  <c r="W216" i="17"/>
  <c r="W195" i="17"/>
  <c r="W187" i="17" l="1"/>
  <c r="W185" i="17"/>
  <c r="W177" i="17"/>
  <c r="W240" i="17"/>
  <c r="R240" i="17" s="1"/>
  <c r="W239" i="17"/>
  <c r="W238" i="17"/>
  <c r="R238" i="17" s="1"/>
  <c r="W176" i="17"/>
  <c r="W175" i="17"/>
  <c r="W174" i="17"/>
  <c r="W171" i="17"/>
  <c r="W236" i="17"/>
  <c r="W161" i="17"/>
  <c r="W196" i="17"/>
  <c r="W198" i="17"/>
  <c r="W197" i="17"/>
  <c r="R197" i="17" s="1"/>
  <c r="W226" i="17"/>
  <c r="H263" i="17"/>
  <c r="W235" i="17"/>
  <c r="G263" i="17" l="1"/>
  <c r="W33" i="17" l="1"/>
  <c r="W144" i="17" l="1"/>
  <c r="W151" i="17"/>
  <c r="W124" i="17" l="1"/>
  <c r="W72" i="17"/>
  <c r="W133" i="17"/>
  <c r="W128" i="17"/>
  <c r="R103" i="17"/>
  <c r="W103" i="17"/>
  <c r="W119" i="17"/>
  <c r="W148" i="17" l="1"/>
  <c r="W147" i="17"/>
  <c r="R151" i="17"/>
  <c r="W146" i="17"/>
  <c r="W122" i="17"/>
  <c r="W121" i="17"/>
  <c r="W120" i="17"/>
  <c r="W149" i="17"/>
  <c r="W95" i="17" l="1"/>
  <c r="R153" i="17"/>
  <c r="R152" i="17"/>
  <c r="W19" i="17"/>
  <c r="W74" i="17"/>
  <c r="W75" i="17"/>
  <c r="W150" i="17" l="1"/>
  <c r="R150" i="17" s="1"/>
  <c r="W137" i="17" l="1"/>
  <c r="W102" i="17"/>
  <c r="W97" i="17"/>
  <c r="W92" i="17"/>
  <c r="W76" i="17"/>
  <c r="W73" i="17"/>
  <c r="W70" i="17"/>
  <c r="W66" i="17"/>
  <c r="W71" i="17"/>
  <c r="X72" i="17"/>
  <c r="W58" i="17" l="1"/>
  <c r="R149" i="17" l="1"/>
  <c r="R145" i="17"/>
  <c r="R146" i="17"/>
  <c r="R147" i="17"/>
  <c r="R148" i="17"/>
  <c r="R144" i="17"/>
  <c r="W84" i="17" l="1"/>
  <c r="R84" i="17" s="1"/>
  <c r="W80" i="17"/>
  <c r="W79" i="17"/>
  <c r="W104" i="17"/>
  <c r="W106" i="17"/>
  <c r="W35" i="17"/>
  <c r="W50" i="17"/>
  <c r="W49" i="17"/>
  <c r="W47" i="17"/>
  <c r="R142" i="17"/>
  <c r="W61" i="17"/>
  <c r="V135" i="17"/>
  <c r="W34" i="17"/>
  <c r="R141" i="17" l="1"/>
  <c r="V140" i="17"/>
  <c r="V139" i="17"/>
  <c r="W138" i="17" l="1"/>
  <c r="R138" i="17" s="1"/>
  <c r="W136" i="17"/>
  <c r="R136" i="17" s="1"/>
  <c r="W115" i="17"/>
  <c r="R85" i="17"/>
  <c r="W85" i="17"/>
  <c r="W68" i="17"/>
  <c r="W69" i="17"/>
  <c r="W67" i="17"/>
  <c r="R134" i="17"/>
  <c r="W252" i="17" l="1"/>
  <c r="M263" i="17"/>
  <c r="L263" i="17"/>
  <c r="K263" i="17"/>
  <c r="J263" i="17"/>
  <c r="I263" i="17"/>
  <c r="R133" i="17" l="1"/>
  <c r="R127" i="17"/>
  <c r="R124" i="17"/>
  <c r="R123" i="17"/>
  <c r="R118" i="17"/>
  <c r="R116" i="17"/>
  <c r="R115" i="17"/>
  <c r="R106" i="17"/>
  <c r="R105" i="17"/>
  <c r="R102" i="17"/>
  <c r="R96" i="17"/>
  <c r="R91" i="17"/>
  <c r="R90" i="17"/>
  <c r="R89" i="17"/>
  <c r="R88" i="17"/>
  <c r="R87" i="17"/>
  <c r="R83" i="17"/>
  <c r="R82" i="17"/>
  <c r="R81" i="17"/>
  <c r="R80" i="17"/>
  <c r="R78" i="17"/>
  <c r="R77" i="17"/>
  <c r="R69" i="17"/>
  <c r="R68" i="17"/>
  <c r="R67" i="17"/>
  <c r="R60" i="17"/>
  <c r="R57" i="17"/>
  <c r="R55" i="17"/>
  <c r="R54" i="17"/>
  <c r="R53" i="17"/>
  <c r="R52" i="17"/>
  <c r="R51" i="17"/>
  <c r="R50" i="17"/>
  <c r="R49" i="17"/>
  <c r="R47" i="17"/>
  <c r="R43" i="17"/>
  <c r="R42" i="17"/>
  <c r="R36" i="17"/>
  <c r="R33" i="17"/>
  <c r="R99" i="17"/>
  <c r="A41" i="7" l="1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1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A2" i="7"/>
</calcChain>
</file>

<file path=xl/sharedStrings.xml><?xml version="1.0" encoding="utf-8"?>
<sst xmlns="http://schemas.openxmlformats.org/spreadsheetml/2006/main" count="4731" uniqueCount="826">
  <si>
    <t>Tipo de Contratação</t>
  </si>
  <si>
    <t>Unidade de Medida</t>
  </si>
  <si>
    <t>Quantidade Estimada</t>
  </si>
  <si>
    <t>Gerência</t>
  </si>
  <si>
    <t>Agente de Contratação ou Fiscal</t>
  </si>
  <si>
    <t>Hierarquia</t>
  </si>
  <si>
    <t>Setor Demandante</t>
  </si>
  <si>
    <t>Grupo de Natureza de Despesa - GND</t>
  </si>
  <si>
    <t>3 - Outras Despesas Correntes</t>
  </si>
  <si>
    <t>4 - Investimentos</t>
  </si>
  <si>
    <t>Tipo de Fonte de Recurso</t>
  </si>
  <si>
    <t>Secretaria de Estado de Gestão e Recursos Humanos - SEGER</t>
  </si>
  <si>
    <t>280.101 - SEGER</t>
  </si>
  <si>
    <t>ANO</t>
  </si>
  <si>
    <t>GEAG</t>
  </si>
  <si>
    <t>GEAP</t>
  </si>
  <si>
    <t>GECADS</t>
  </si>
  <si>
    <t>GECOV</t>
  </si>
  <si>
    <t>GELIC</t>
  </si>
  <si>
    <t>GEMAN</t>
  </si>
  <si>
    <t>GEMOB</t>
  </si>
  <si>
    <t>GEPLAN</t>
  </si>
  <si>
    <t>GESAT</t>
  </si>
  <si>
    <t>GESIS</t>
  </si>
  <si>
    <t>GIG</t>
  </si>
  <si>
    <t>GPP</t>
  </si>
  <si>
    <t>GRH</t>
  </si>
  <si>
    <t>GA</t>
  </si>
  <si>
    <t>SUMAAIC</t>
  </si>
  <si>
    <t>NUINF</t>
  </si>
  <si>
    <t>SUBEST</t>
  </si>
  <si>
    <t>SUSET</t>
  </si>
  <si>
    <t>SUQUALIT</t>
  </si>
  <si>
    <t>Elemento de Despesa</t>
  </si>
  <si>
    <t>Nova Compra</t>
  </si>
  <si>
    <t>Novo Serviço</t>
  </si>
  <si>
    <t>Observações (Opcional)</t>
  </si>
  <si>
    <t>Repasse sem Contraprestação</t>
  </si>
  <si>
    <t>SUBAP</t>
  </si>
  <si>
    <t>SUBGES</t>
  </si>
  <si>
    <t>SUBAD</t>
  </si>
  <si>
    <t>UNIDADE</t>
  </si>
  <si>
    <t>ANUAL</t>
  </si>
  <si>
    <t>BOLSA</t>
  </si>
  <si>
    <t>CM / COLUNA</t>
  </si>
  <si>
    <t>HORA</t>
  </si>
  <si>
    <t>LITRO</t>
  </si>
  <si>
    <t>MENSAL</t>
  </si>
  <si>
    <t>MÊS</t>
  </si>
  <si>
    <t>PONTO DE FUNCAO</t>
  </si>
  <si>
    <t>POSTO</t>
  </si>
  <si>
    <t>SERVIÇO</t>
  </si>
  <si>
    <t>UST</t>
  </si>
  <si>
    <t>VALOR</t>
  </si>
  <si>
    <t>Forma de Contratação</t>
  </si>
  <si>
    <t>Vigência Inicial / Prazo de Aquisição e Outros</t>
  </si>
  <si>
    <t>Objeto (Descrição)</t>
  </si>
  <si>
    <t>Total Gasto em 2026</t>
  </si>
  <si>
    <t>Serviço em andamento - Sem Renovação/Prorrogação</t>
  </si>
  <si>
    <t>Compra em andamento - Com Renovação/Prorrogação</t>
  </si>
  <si>
    <t>Serviço em andamento - Com Renovação/Prorrogação</t>
  </si>
  <si>
    <t>Adesão/utilização de ARP existente</t>
  </si>
  <si>
    <t>Concorrência</t>
  </si>
  <si>
    <t>Chamamento Público - Inexigibilidade</t>
  </si>
  <si>
    <t>Descentralização de Créditos Externa</t>
  </si>
  <si>
    <t>Descentralização de Créditos Interna</t>
  </si>
  <si>
    <t>Pregão - Pregão</t>
  </si>
  <si>
    <t>Pregão - Registro de Preço</t>
  </si>
  <si>
    <t>Contratação Direta - Dispensa</t>
  </si>
  <si>
    <t>Contratação Direta - Inexigibilidade</t>
  </si>
  <si>
    <t>Não Aplicável</t>
  </si>
  <si>
    <t>CRISTIANE LOPES DA SILVA SANTOS - GESTORA</t>
  </si>
  <si>
    <t>A DEFINIR</t>
  </si>
  <si>
    <t>Serviços de Certificação Digital</t>
  </si>
  <si>
    <t>Ação</t>
  </si>
  <si>
    <t>PO</t>
  </si>
  <si>
    <t>000001 - Não Definido</t>
  </si>
  <si>
    <t>000002 - Despesa Obrigatória</t>
  </si>
  <si>
    <t>2070 - Administração da Unidade</t>
  </si>
  <si>
    <t>2077 - Capacitação e Treinamento de Recursos Humanos</t>
  </si>
  <si>
    <t>4251 - Gestão Administrativa e Controle do Gasto</t>
  </si>
  <si>
    <t>3252 - Modernização da Gestão Pública</t>
  </si>
  <si>
    <t>001580 - Desenvolvimento de Ações De Ciência, Tecnologia e Inovação</t>
  </si>
  <si>
    <t>Auxílio Financeiro para concessão de bolsa em virtude de contratação de vaga de trainee para pesquisa de inovação na gestão pública na área de assessoria estratégica - Descentralização à FAPES</t>
  </si>
  <si>
    <t>Serviços de fornecimento de energia - Fabio Ruschi</t>
  </si>
  <si>
    <t>000789 - Gestão do Patrimônio Público Estadual - Bens Imóveis</t>
  </si>
  <si>
    <t>Serviços de publicações de Atos Oficiais no Diário Oficial do Estado, relacionados a procedimentos Licitatórios, Resumo de Atos Contratuais, de Pessoais, Rescisões, Retificações, Ordens de Serviços, Instruções, Portarias, Decretos e outros, cuja publicidade se faça necessária.</t>
  </si>
  <si>
    <t>Serviços especializados de manutenção preventiva e corretiva integral em elevadores - Nova Sede</t>
  </si>
  <si>
    <t>Serviços especializados de manutenção preventiva e corretiva integral em elevadores - Fábio Ruschi</t>
  </si>
  <si>
    <t>Serviços de fornecimento de energia - Nova sede SEGER</t>
  </si>
  <si>
    <t>Serviços de fornecimento de água - Nova Sede SEGER</t>
  </si>
  <si>
    <t>Serviços de fornecimento de água - Fabio Ruschi</t>
  </si>
  <si>
    <t>Lavagem Cisterna - Nova Sede</t>
  </si>
  <si>
    <t>003213 - Contratos de Mão de Obra - SEGER</t>
  </si>
  <si>
    <t>Prestação de serviços administrativos e de suporte de nível operacional, por meio de assistentes administrativos e encarregados</t>
  </si>
  <si>
    <t>Serviços de Agenciamento e Fornecimento de Passagens Aéreas</t>
  </si>
  <si>
    <t>Contratação de manutenção preventiva e corretiva, com fornecimento de peças e reposição de gás e serviços de remanejamento de ar condicionado</t>
  </si>
  <si>
    <t>Locação de veículo automotor de representação sem motorista</t>
  </si>
  <si>
    <t>Locação de veículo automotor, sendo 01 (um) de serviço e 1 (um) executivo, ambos sem motorista</t>
  </si>
  <si>
    <t>Serviços de natureza continuada, de guarda e vigilância, armada e desarmada na SEGER e suas unidades, incluindo a nova sede</t>
  </si>
  <si>
    <t>Publicação de matéria legal em jornal de grande circulação</t>
  </si>
  <si>
    <t>Serviços de manutenção preventiva e corretiva em 01 (uma) porta de vidro automática e em 01 (uma) porta de vidro manual do Edifício Fábio Ruschi</t>
  </si>
  <si>
    <t>Locação de Veículo Automotor sem motorista (Representação,
sem motorista e Executivo, sem motorista; e serviço, sem motorista</t>
  </si>
  <si>
    <t xml:space="preserve">Locação de mão-de-obra de 02 (dois) Postos de  Motorista Convencional 44 horas semanais
</t>
  </si>
  <si>
    <t>Contratação Empresa Especializada em Gerenciamento de Abastecimento Combustíveis da Frota - Gasolina</t>
  </si>
  <si>
    <t>Contratação Empresa Especializada em Gerenciamento de Abastecimento Combustíveis da Frota - Etanol</t>
  </si>
  <si>
    <t>Contrato de Prestação de Serviços Telefonia para Operacionalização Rede Corporativa Gov.Es - Telefonia Fixa Local e Interurbana, 800 e Tridígito</t>
  </si>
  <si>
    <t>Contratação de Serviço Móvel Pessoal (SMP) Modalidade Longa Distância Assinatura Mensal Voz e Dados com Fornecimento Aparelho Móvel Comodato SIMCARDS - Voz</t>
  </si>
  <si>
    <t>Contratação de Serviço Móvel Pessoal (SMP) Modalidade Longa Distância Assinatura Mensal Voz e Dados com Fornecimento Aparelho Móvel Comodato SIMCARDS - Dados</t>
  </si>
  <si>
    <t>Despesas com serviços de chaveiro – Parcela de Serviços</t>
  </si>
  <si>
    <t>Despesas com serviços de chaveiro – Parcela de Materiais</t>
  </si>
  <si>
    <t>Assinatura do Jornal A Gazeta</t>
  </si>
  <si>
    <t>Assinatura do Jornal A Tribuna</t>
  </si>
  <si>
    <t>Despesas de Exercício Anteriores – Água, energia elétrica, telefonia e outras</t>
  </si>
  <si>
    <t>Contratação de empresa especializada na prestação de serviços de limpeza e conservação, compreendendo o fornecimento de mão de obra, materiais e equipamentos, copeiragem, recepção e manutenção predial com supervisão técnica, na dependências da SEGER e suas unidades, incluindo a nova sede da SEGER</t>
  </si>
  <si>
    <t xml:space="preserve">Aquisição de Gêneros Alimentícios (café, açúcar, adoçante, açúcar em sachê) </t>
  </si>
  <si>
    <t xml:space="preserve">Aquisição de Materiais de Higiene e Limpeza (Papel Higiênico, Papel Toalha, Sabonete Líquido, Detergente, Dispenser e outros) </t>
  </si>
  <si>
    <t xml:space="preserve">Aquisição de Material de Copa e Cozinha  (Copo descartável, garrafa térmica, copo de vidro, jarra de vidro e outros) </t>
  </si>
  <si>
    <t>Aquisição de material para manutenção de bens móveis (refil (filtro), mangueira para purificadores de água e outros)</t>
  </si>
  <si>
    <t>Aquisição de material para manutenção de bens imóveis (anel de vedação, válvulas, torneira, sifão, luva hidráulica e outros)</t>
  </si>
  <si>
    <t xml:space="preserve">Aquisição de Bens Móveis não Ativáveis (Aparelho telefone, plataforma para os pés, Estabilizador eoutros) </t>
  </si>
  <si>
    <t xml:space="preserve">Material Elétrico Eletrônico (Disjuntor, lampadas, cabo flexivel, canaleta, pilha alcalina e outros) </t>
  </si>
  <si>
    <t xml:space="preserve">Aquisição de Materiais de Expediente (Papel, Caneta, Lápis, borrachas, Cola, Pincéis, Clipes, Grampeadores, marca texto, pincel, barbante e outros) </t>
  </si>
  <si>
    <t>3254 - Aquisição, Construção, Ampliação e Reforma de Imóveis Públicos</t>
  </si>
  <si>
    <t>000787 - Reforma do Edifício Fábio Ruschi</t>
  </si>
  <si>
    <t>Obra de Retrofit do Ed. Fábio Ruschi</t>
  </si>
  <si>
    <t>Manutenção corretiva e preventiva do Sistema de prevenção e combate a incêndio</t>
  </si>
  <si>
    <t>Materiais de Segurança do Trabalho (Equipamento de Proteção Individual)</t>
  </si>
  <si>
    <t>Manutenção Predial Nova Sede</t>
  </si>
  <si>
    <t>Serviços Postais</t>
  </si>
  <si>
    <t>Lavagem Fachada Nova Sede</t>
  </si>
  <si>
    <t>Obras de adequação das calçadas do Fábio Ruschi</t>
  </si>
  <si>
    <t>Aluguel de imóvel para SEGER durante Retrofit Fabio Ruschi</t>
  </si>
  <si>
    <t>Despesas com Imóveis Desocupados - Condomínios</t>
  </si>
  <si>
    <t>Despesas com Imóveis Desocupados - Fornecimento de Energia Elétrica</t>
  </si>
  <si>
    <t>Despesas com Imóveis Desocupados - Fornecimento de Água e Esgoto</t>
  </si>
  <si>
    <t>Auxílio Financeiro para concessão de bolsa em virtude de contratação de vaga de trainee para pesquisa de inovação na gestão pública na área gestão de frotas - Descentralização à FAPES</t>
  </si>
  <si>
    <t>Auxílio Financeiro para concessão de bolsa de Gestão da Inovação em Políticas Públicas - Descentralização à FAPES</t>
  </si>
  <si>
    <t>Auxílio Financeiro para concessão de bolsa em virtude de contratação de vaga de trainee para pesquisa de inovação na gestão pública na área de gestão de contratos - Descentralização à FAPES</t>
  </si>
  <si>
    <t>2328 - Serviços de Atendimento ao Cidadão</t>
  </si>
  <si>
    <t>000521 - Manutenção da Central de Atendimento Integrado - Rede Faça Fácil - Unidade de Cariacica</t>
  </si>
  <si>
    <t>Auxílio Financeiro para concessão de bolsa em virtude de contratação de vaga de trainee para pesquisa de inovação na gestão pública na área de licitações - Descentralização à FAPES</t>
  </si>
  <si>
    <t>Empresas Credenciadas de Avaliação - Despesa com Honorários</t>
  </si>
  <si>
    <t>Empresas Credenciadas de Avaliação - Despesa com Deslocamento</t>
  </si>
  <si>
    <t>Filiação junto à Associação Brasileira de Normas Técnicas - ABNT</t>
  </si>
  <si>
    <t>Aquisição de normas técnicas junto à ABNT</t>
  </si>
  <si>
    <t>003239 - INOVA SEGER</t>
  </si>
  <si>
    <t>Auxílio financeiro para elaboração, planejamento, execução, monitoramento e avaliação de Programa INOVA SEGER: LABORATÓRIO DE GESTÃO DE ENERGIAS - projetos de pesquisa, inovação, desenvolvimento e extensão tecnológica em projetos de eficiência energética (energia fotovoltaica, migração para o mercado livre de energia, revisão tarifária, etc.) via Descentralização à FAPES</t>
  </si>
  <si>
    <t>Despesas com Imóveis Desocupados - Serviços de Roçagem e Limpeza de Terrenos, Cercamento, Aquisição e instalação de placas de indentificação de imóves do Governo do Estado</t>
  </si>
  <si>
    <t>Licenciamento de Softwares de projetos de engenharia, arquitetura e gestão de projetos e obras de engenharia (SketchUp, MS Project, Revit, etc.)</t>
  </si>
  <si>
    <t xml:space="preserve">Aquisição de licença de uso permanente de software de avaliação imobiliária </t>
  </si>
  <si>
    <t>Aquisição de assinatura de permissão de acesso de serviço agregador de ferramentas de inteligência artificial generativa</t>
  </si>
  <si>
    <t>000788 - Gestão do Patrimônio Público Estadual - Bens Móveis</t>
  </si>
  <si>
    <t>Depósito de Inservíveis - Locação de Galpão para abrigar o Almoxarifado de Inservíveis e Arquivo Geral da SEGER</t>
  </si>
  <si>
    <t>Depósito de Inservíveis - Despesa com Fornecimento de Água e Esgoto do Galpão</t>
  </si>
  <si>
    <t>Depósito de Inservíveis - Despesa com Fornecimento de Energia Elétrica do Galpão</t>
  </si>
  <si>
    <t>Depósito de Inservíveis - Despesa com Serviços de Consertos</t>
  </si>
  <si>
    <t>Auxílio financeiro para execução do Projeto de Suprimentos, no Programa INOVA SEGER - Descenralização FAPES</t>
  </si>
  <si>
    <t>Auxílio Financeiro para concessão de bolsa em virtude de contratação de vaga de trainee para pesquisa de inovação na gestão pública na área de planejamento de contratações - Descentralização à FAPES</t>
  </si>
  <si>
    <t>002914 - Novo Sistema de Gestão Administrativa</t>
  </si>
  <si>
    <t>SIADES - Sustentação tecnológica pelo prazo de 60 (sessenta) meses contemplando a manutenção contínua (corretiva, adaptativa e preventiva), a disponibilização/atualização de cursos de capacitação funcional em formato autoinstrucional, e atendimento de suporte técnico completo (nível 1, 2 e 3)</t>
  </si>
  <si>
    <t>SIADES - Manutenção evolutiva em projetos sob demanda</t>
  </si>
  <si>
    <t>002915 - Inteligência Analítica - SAS</t>
  </si>
  <si>
    <t>SAS, Cloudera e o Kubernetes, Harbor e Rancher - Serviço de suporte técnico complementar com sustentação operacional</t>
  </si>
  <si>
    <t>Auxílio financeiro para bolsistas no Projeto SmartGovES - Governo inteligente e digital no Estado do Espírito Santo, no Programa INOVA SEGER</t>
  </si>
  <si>
    <t>Auxílio Financeiro para concessão de bolsa em virtude de contratação de vaga de trainee para pesquisa de inovação na gestão pública na área de gestão de sistemas - Descentralização à FAPES</t>
  </si>
  <si>
    <t>Serviços de Impressão com Fornecimento de Equipamentos, Insumos (exceto papel), Manutenção e Assistência Técnica, Treinamento e Solução para Monitoramento, Gestão e Bilhetagem dos Serviços.</t>
  </si>
  <si>
    <t>Contratação de Serviços Técnicos Especializados na Área de Tecnologia da Informação, para Organização, Implantação e Execução Continuada de Atividades de Suporte Técnico Remoto e Presencial a Usuários de Soluções de Tecnologia da Informação – SERVICE DESKS DE SOLUÇÕES DE TECNOLOGIA DA INFORMAÇÃO – SERVICE DESK - Locação de mão de obra</t>
  </si>
  <si>
    <t>Contratação de Serviços Técnicos Especializados na Área de Tecnologia da Informação, para Organização, Implantação e Execução Continuada de Atividades de Suporte Técnico Remoto e Presencial a Usuários de Soluções de Tecnologia da Informação – SERVICE DESKS DE SOLUÇÕES DE TECNOLOGIA DA INFORMAÇÃO – SERVICE DESK - UST</t>
  </si>
  <si>
    <t>Aquisição de ferramentas e insumos para TIC</t>
  </si>
  <si>
    <t>0101/2026</t>
  </si>
  <si>
    <t>CECILIA LUCIA DE SIQUEIRA DIAS - GESTORA</t>
  </si>
  <si>
    <t>MARCIA DOS SANTOS - FISCAL</t>
  </si>
  <si>
    <t>CRISTIANE LOPES DA SILVA SANTOS - FISCAL</t>
  </si>
  <si>
    <t>MARIA EMILIA NERY VALADÃO - FISCAL</t>
  </si>
  <si>
    <t>ERICK NASCIMENTO BORGES - FISCAL</t>
  </si>
  <si>
    <t>ALESSANDRO COSTA SCHIMITEL - FISCAL</t>
  </si>
  <si>
    <t>JOSIANE BIANCHI SUZANA - FISCAL</t>
  </si>
  <si>
    <t>ROSIMERIA COUTINHO RODRIGUES - FISCAL</t>
  </si>
  <si>
    <t>SAMARA DE JESUS PEREIRA, CECILIA LUCIA DE SIQUEIRA DIAS E RÚBIA PEREIRA SIMONASSI - COMISSÃO GESTORA</t>
  </si>
  <si>
    <t>MARIANE CRISTINE DA CONCEICAO RODRIGUES - AGENTE DE CONTRATAÇÃO</t>
  </si>
  <si>
    <t>CHRISTIANE GIMENES WIGNERON - GESTORA DE CONTRATO</t>
  </si>
  <si>
    <t>CAROLINA BRAGATTO DAL PIAZ – GESTORA DO PROJETO</t>
  </si>
  <si>
    <t>VICTOR RODRIGUES DALVI, ARIANE TEREZINHA PIN JACINTO MANSUR, DIEGO DE OLIVEIRA ROCHA E GOR ENDLICH MARINS - COMISSÃO GESTORA</t>
  </si>
  <si>
    <t>LUIZ FELIPE PIMENTA GRAMELISCH - AGENTE DE CONTRATAÇÃO</t>
  </si>
  <si>
    <t>GLORIETE MARIA DOS SANTOS ALMEIDA - AGENTE DE CONTRATAÇÃO</t>
  </si>
  <si>
    <t>GUSTAVO CASTRO TEIXEIRA - GESTOR DO PROJETO</t>
  </si>
  <si>
    <t>CID PAULO LEAL JUNIOR - GESTOR</t>
  </si>
  <si>
    <t>4250 - Gestão e Desenvolvimento de Recursos Humanos</t>
  </si>
  <si>
    <t>001686 - Modernização do Programa Jovens Valores</t>
  </si>
  <si>
    <t>Contratação de Agente de Integração para o Programa Jovens Valores</t>
  </si>
  <si>
    <t>Afiliação anual à Associação Brasileira de Recursos Humanos - ABRH/ES</t>
  </si>
  <si>
    <t>002901 - Saúde e Segurança do Trabalho do Servidor</t>
  </si>
  <si>
    <t>001687 - Qualivida</t>
  </si>
  <si>
    <t>Aquisição de materiais para as ações do QUALIVIDA: tubos de sementes de mostarda, placas de plásticos, pinças, estiletes, esparadrapos, materiais de papelaria, tecidos, etc)</t>
  </si>
  <si>
    <t>Serviços de calibração de equipamentos de medição</t>
  </si>
  <si>
    <t>2095 - Remuneração de Pessoal Ativo e Encargos Sociais</t>
  </si>
  <si>
    <t>Vale Transporte - Servidores e Estagiários - GVBUS</t>
  </si>
  <si>
    <t>Recarga de Cartão de Serviço Extra - GVBUS</t>
  </si>
  <si>
    <t>Vale Transporte - Viação Alvorada</t>
  </si>
  <si>
    <t>002912 - Novo Sistema de Gestão de Pessoas</t>
  </si>
  <si>
    <t>Implantação do novo sistema de gestão de pessoas</t>
  </si>
  <si>
    <t>KARLA MENDONÇA MEDEIROS, ANA CLAUDIA PASSOS SANTOS SILVA E SABRINA KEILLA MARCONDES AZEVEDO - COMISSÃO GESTORA</t>
  </si>
  <si>
    <t>FERNANDA LÍRIO COUTINHO - GESTORA</t>
  </si>
  <si>
    <t>001005 - E-Docs nos Municípios</t>
  </si>
  <si>
    <t>001726 - LAB.ges - Laboratório de Inovação na Gestão</t>
  </si>
  <si>
    <t>003069 - Startup-ES</t>
  </si>
  <si>
    <t>Auxílio Financeiro para a concessão de bolsas, auxílios deslocamento, diárias e passagens (Trainees) para Descentralizar à FAPES</t>
  </si>
  <si>
    <t>Contratação de licença dos seguintes softwares para desenvolvimento do projeto StartupES e dos trabalhos da GIG: ChatGPT.</t>
  </si>
  <si>
    <t>Contratação de licença dos seguintes softwares para desenvolvimento do projeto StartupES: Jotform, Trello,Mail Chimp e Mlabs</t>
  </si>
  <si>
    <t>Contratação de licença dos seguintes softwares para desenvolvimento do projeto StartupES e dos trabalhos do LAB.ges: Figma</t>
  </si>
  <si>
    <t xml:space="preserve">Contratação de 03 licenças do software Abode Creative Cloud objetivando a realização de serviços de publicidade para atender à SUBGES </t>
  </si>
  <si>
    <t>Auxílio Financeiro para a concessão de bolsas e diárias vinculadas ao StartupES (já implementadas) para Descentralizar à FAPES</t>
  </si>
  <si>
    <t>Contratação de docente em virtude de descentralizações para realização de cursos pela ESESP - Implantação do sistema e-Docs nos municípios</t>
  </si>
  <si>
    <t>Contratação de docente assistente em virtude de descentralizações para realização de cursos pela ESESP - Implantação do sistema e-Docs nos municípios</t>
  </si>
  <si>
    <t>Obrigações Patronais sobre contratação de docentes em virtude de descentralizações para realização de cursos pela ESESP - Implantação do sistema e-Docs nos municípios</t>
  </si>
  <si>
    <t>002916 - Faça + Fácil</t>
  </si>
  <si>
    <t xml:space="preserve">Locação de totens de autoatendimento para acesso aos serviços públicos digitais prestados pelo Governo do Estado do Espírito Santo através do Portal Inteligente - Pojeto estratégico Faça + Fácil </t>
  </si>
  <si>
    <t>Contratação de licença dos seguintes softwares para desenvolvimento do projeto e-Docs nos municípios e dos trabalhos da GPP: Jotforms e Trello.</t>
  </si>
  <si>
    <t>Contratação de licença dos seguintes softwares para desenvolvimento do projeto e-Docs nos municípios e dos trabalhos da GPP: Figma</t>
  </si>
  <si>
    <t>Renovação de licenças do software Abode Creative Cloud objetivando a realização de serviços de publicidade para atender à SUBGES</t>
  </si>
  <si>
    <t>Auxílio Financeiro para a concessão de diárias e passagens para operacionalizar a implantação do E-docs em 6 municípios (sendo 4 diárias no mínimo por município)  vinculado ao trabalho do bolsista do StartupES para Descentralizar à FAPES</t>
  </si>
  <si>
    <t>NARA FALQUETO CALIMAN - GESTORA</t>
  </si>
  <si>
    <t>Auxílio Financeiro para concessão de bolsa em virtude de contratação de vaga de trainee para pesquisa de inovação na gestão pública na área de gestão de pessoas - Descentralização à FAPES</t>
  </si>
  <si>
    <t>Auxílio Financeiro para concessão de bolsa em virtude de contratação de vaga de trainee para pesquisa de inovação na gestão pública na área de gestão de almoxarifado e patrimônio - Descentralização à FAPES</t>
  </si>
  <si>
    <t>003020 - Laboratório de Gestão de Energias</t>
  </si>
  <si>
    <t>Fonte</t>
  </si>
  <si>
    <t>GECEN</t>
  </si>
  <si>
    <t>Serviço de fornecimento de plataforma agregadora de pesquisa de transporte por aplicativo de passageiros</t>
  </si>
  <si>
    <t>1.500.000000</t>
  </si>
  <si>
    <t>1.704.000000</t>
  </si>
  <si>
    <t>1.500.900000</t>
  </si>
  <si>
    <t>1.704.900000</t>
  </si>
  <si>
    <t>003368 - Gestão de Compras Sustentáveis</t>
  </si>
  <si>
    <t>1.501.000000</t>
  </si>
  <si>
    <t>Contraprestações pecuniárias públicas para operação, gestão e manutenção da Unidade Fixa do Faça Fácil de Cariacica</t>
  </si>
  <si>
    <t xml:space="preserve">NELSON JORGE GARBINI DE MELLO - GESTOR </t>
  </si>
  <si>
    <t>GESIP</t>
  </si>
  <si>
    <t>SUBCEN</t>
  </si>
  <si>
    <t>Valor de Exercícios Vindouros</t>
  </si>
  <si>
    <t>Modalidade de Aplicação</t>
  </si>
  <si>
    <t>20 - Auxílio Financeiro a Pesquisadores</t>
  </si>
  <si>
    <t>39 - Outros Serviços de Terceiros - Pessoa</t>
  </si>
  <si>
    <t>37 - Locação de Mão-de-Obra</t>
  </si>
  <si>
    <t>33 - Passagens e Despesas com Locomoção</t>
  </si>
  <si>
    <t>30 - Material de Consumo</t>
  </si>
  <si>
    <t>40 - Serviços de Tecnologia da Informação</t>
  </si>
  <si>
    <t>92 - Despesas de Exercícios Anteriores</t>
  </si>
  <si>
    <t>51 - Obras e Instalações</t>
  </si>
  <si>
    <t>83 - Despesas Decorrentes de Contrato de P</t>
  </si>
  <si>
    <t>41 - Contribuições</t>
  </si>
  <si>
    <t>49 - Auxílio-Transporte</t>
  </si>
  <si>
    <t>36 - Outros Serviços de Terceiros - Pessoa</t>
  </si>
  <si>
    <t>47 - Obrigações Tributárias e Contributiva</t>
  </si>
  <si>
    <t>50 - Transferências a Instituições Privadas Sem Fins Lucrativos</t>
  </si>
  <si>
    <t>90 - Aplicações Diretas</t>
  </si>
  <si>
    <t>91 - Aplicação Direta Decorrente de Operação Entre Órgãos, Fundos e Entidades Integrantes dos Orçamentos Fiscal e da Seguridade Social</t>
  </si>
  <si>
    <t>67 - Execução de Contrato de Parceria Público-Privada - PPP</t>
  </si>
  <si>
    <t>3 - Despesas Correntes</t>
  </si>
  <si>
    <t>Categoria Econômica</t>
  </si>
  <si>
    <t>4 - Despesas de Capital</t>
  </si>
  <si>
    <t>Recursos de Caixa do Tesouro</t>
  </si>
  <si>
    <t>Recursos de Caixa do Tesouro - Contrapartida Estadual</t>
  </si>
  <si>
    <t>PLANO DE CONTRATAÇÕES ANUAL</t>
  </si>
  <si>
    <t>ÓRGÃO OU ENTIDADE:</t>
  </si>
  <si>
    <t>UNIDADE GESTORA:</t>
  </si>
  <si>
    <t>ÁREA RESPONSÁVEL PELA CONSOLIDAÇÃO:</t>
  </si>
  <si>
    <t>Gerência de Apoio à Gestão - GEAG</t>
  </si>
  <si>
    <t>CONTROLE DE VERSÃO:</t>
  </si>
  <si>
    <t>DATA DA VERSÃO:</t>
  </si>
  <si>
    <t>Legenda:</t>
  </si>
  <si>
    <t>*</t>
  </si>
  <si>
    <t>Campos obrigatórios do PCA</t>
  </si>
  <si>
    <t>1 -</t>
  </si>
  <si>
    <t>Consideram-se "OUTRAS ALTERAÇÕES" os Reajustes, as Repactuações, as Revisões, Alterações Qualitativas ou Quantitativas de Objeto contratual que impactam no orçamento.  Sendo o prazo o início da sua vigência. Em caso de mais de um tipo de alteração, considerou-se o prazo inicial da primeira.</t>
  </si>
  <si>
    <t>2 -</t>
  </si>
  <si>
    <t>GRUPO DE NATUREZA DE DESPESA</t>
  </si>
  <si>
    <t>RECURSOS DE CAIXA DO TESOURO</t>
  </si>
  <si>
    <t>RECURSOS VINCULADOS DO TESOURO</t>
  </si>
  <si>
    <t>RECURSOS DE ARRECADAÇÃO PRÓPRIA DAS AUTARQUIAS</t>
  </si>
  <si>
    <t>RECURSOS VINCULADOS DAS AUTARQUIAS</t>
  </si>
  <si>
    <t>RECURSOS DO ORÇAMENTO DE INVESTIMENTO</t>
  </si>
  <si>
    <t>RECURSOS EXTRAORÇAMENTÁRIOS</t>
  </si>
  <si>
    <t>NÃO DEFINIDO</t>
  </si>
  <si>
    <t>TOTAL</t>
  </si>
  <si>
    <t>-</t>
  </si>
  <si>
    <t>31/04/2027</t>
  </si>
  <si>
    <t>31/06/2027</t>
  </si>
  <si>
    <t>Prazo de Prorrogação / Renovação</t>
  </si>
  <si>
    <t>Prazo de Outras Alterações</t>
  </si>
  <si>
    <t>Vigência Final</t>
  </si>
  <si>
    <t xml:space="preserve">Item 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</si>
  <si>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</si>
  <si>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</si>
  <si>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</si>
  <si>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</si>
  <si>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</si>
  <si>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</si>
  <si>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</si>
  <si>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</si>
  <si>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</si>
  <si>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</si>
  <si>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</si>
  <si>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</si>
  <si>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</si>
  <si>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</si>
  <si>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</si>
  <si>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</si>
  <si>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</si>
  <si>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</si>
  <si>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</si>
  <si>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</si>
  <si>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</si>
  <si>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</si>
  <si>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</si>
  <si>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</si>
  <si>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</si>
  <si>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</si>
  <si>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</si>
  <si>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</si>
  <si>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</si>
  <si>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</si>
  <si>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</si>
  <si>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</si>
  <si>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</si>
  <si>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</si>
  <si>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</si>
  <si>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</si>
  <si>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</si>
  <si>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</si>
  <si>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</si>
  <si>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</si>
  <si>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</si>
  <si>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</si>
  <si>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</si>
  <si>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</si>
  <si>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</si>
  <si>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</si>
  <si>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</si>
  <si>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</si>
  <si>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</si>
  <si>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</si>
  <si>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</si>
  <si>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</si>
  <si>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</si>
  <si>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</si>
  <si>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</si>
  <si>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</si>
  <si>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</si>
  <si>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</si>
  <si>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</si>
  <si>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</si>
  <si>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</si>
  <si>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</si>
  <si>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</si>
  <si>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</si>
  <si>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</si>
  <si>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</si>
  <si>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</si>
  <si>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</si>
  <si>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</si>
  <si>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</si>
  <si>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</si>
  <si>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</si>
  <si>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</si>
  <si>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</si>
  <si>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</si>
  <si>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</si>
  <si>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</si>
  <si>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</si>
  <si>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</si>
  <si>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</si>
  <si>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</si>
  <si>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</si>
  <si>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</si>
  <si>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</si>
  <si>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</si>
  <si>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</si>
  <si>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</si>
  <si>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</si>
  <si>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</si>
  <si>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</si>
  <si>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</si>
  <si>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</si>
  <si>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</si>
  <si>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</si>
  <si>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</si>
  <si>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</si>
  <si>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</si>
  <si>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</si>
  <si>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</si>
  <si>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</si>
  <si>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</si>
  <si>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</si>
  <si>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</si>
  <si>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</si>
  <si>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</si>
  <si>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</si>
  <si>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</si>
  <si>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</si>
  <si>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</si>
  <si>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</si>
  <si>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</si>
  <si>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</si>
  <si>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</si>
  <si>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</si>
  <si>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</si>
  <si>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</si>
  <si>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</si>
  <si>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</si>
  <si>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</si>
  <si>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</si>
  <si>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Customização (manutenção evolutiva) do novo sistema de gestão de pessoas</t>
  </si>
  <si>
    <t>SUBDOM</t>
  </si>
  <si>
    <t>SUBTEC</t>
  </si>
  <si>
    <t>121</t>
  </si>
  <si>
    <t>METRO QUADRARO</t>
  </si>
  <si>
    <t>GUILHERME DE FARIA BORBOREMA - AGENTE DE CONTRATAÇÃO</t>
  </si>
  <si>
    <t>122</t>
  </si>
  <si>
    <t>Taxa de Condomínio de 9 (nove) Salas no Ed. Ouro Verde</t>
  </si>
  <si>
    <t>123</t>
  </si>
  <si>
    <t>124</t>
  </si>
  <si>
    <t>Confecção de mobiliários planejados - manutenção e reparo de móveis / utensílios de escritório</t>
  </si>
  <si>
    <t>Incluído pelo item 045.</t>
  </si>
  <si>
    <t>Incluído por crédito adicional por meio do Decreto nº 186-S, de 06/02/2026, publicado no DOES em 09/02/2026, do item 045.</t>
  </si>
  <si>
    <t>125</t>
  </si>
  <si>
    <t>52 - Equipamentos e Material Permanente</t>
  </si>
  <si>
    <t>Contratação de empresa especializada na prestação de serviços de suporte técnico, operação, manutenção preventiva e corretiva com fornecimento de peças e materiais para a Central Privada de Comutação Telefônica (CPCT) – PABX, provida de tecnologia TDM/IP, analógica, digital e IP</t>
  </si>
  <si>
    <t>Confecção de mobiliários planejados (bancos, armários e painéis)</t>
  </si>
  <si>
    <t>Aquisição de bens e equipamentos permanentes (cadeiras, mesas, armários, micro-ondas, refrigeradores, etc)</t>
  </si>
  <si>
    <t>126</t>
  </si>
  <si>
    <t>000875 - Mobiliários e Eletrodomésticos</t>
  </si>
  <si>
    <t>Contratação de fornecimento e instação de cobertura, gradil e portão para área externa da Unidade do Faça Fácil, situada no município de Cariacica/ES.</t>
  </si>
  <si>
    <t>Taxa de Condomínio de 8 (oito) Vagas de Garagem no Ed. Martinho de Freitas</t>
  </si>
  <si>
    <t>001312 - Sistema Integrado de Administração de Recursos Humanos do Espírito Santo - SIARHES</t>
  </si>
  <si>
    <t>Serviços de Otimização e execução operacional do SIARHES (parcela de suporte) para Descentralizar ao PRODEST</t>
  </si>
  <si>
    <t>Serviços de Otimização e execução operacional do SIARHES (parcela de renovação de softwares) para Descentralizar ao PRODEST</t>
  </si>
  <si>
    <t>Serviços de Otimização e execução operacional do SIARHES (parcela de apoio consultivo) para Descentralizar ao PRODEST</t>
  </si>
  <si>
    <t>Não será executado. Parcialmente alterado para os itens 121,122, 123 e 125, e por crédito adicional por meio do Decreto nº 186-S, de 06/02/2026, publicado no DOES em 09/02/2026, para o item 124.</t>
  </si>
  <si>
    <t>Os agentes de contratação aptos deste órgão são aqueles listados na Portaria SEGER nº 099-S, de 29/01/2026, publicada no D.O.E. em 30/01/2026, e alterações posteriores. Nos casos de despesas cuja designação do agente ainda não tenha sido formalizada, optou-se por informar no campo "AGENTE DE CONTRATAÇÃO OU FISCAL" a opção "A DEFINIR". À medida que as designações forem realizadas o presente PCA deverá ser atualizado.</t>
  </si>
  <si>
    <t>Aquisição de equipamentos e instrumentos de medição na área de segurança do trabalho: 3 Decibelímetros digitais, 3 Dosímetros de ruídos digitais, 2 Calibradores acústicos digitais, 3
Termômetros de globo digital (IBUTG), 3 Termo-higro-anemômetro digitais, 3 Luxímetros digitais, 2 Medidores de vibração ocupacional para Corpo Inteiro (VCI) e Mãos e Braços (VMB), 2 Bombas de amostragem de poeira e gás, 2 Calibradores de fluxo digital para bombas de amostragem, 2 Detectores de 4 Gases e 3 Trena laser</t>
  </si>
  <si>
    <t xml:space="preserve"> Resolução CCAF nº 192, 07/12/2017. LC nº 964/2021 e Dec. nº 1.459-R, 10/03/2005. 
Vaga de Trainee existente.</t>
  </si>
  <si>
    <t>Não será executado, alterado para o item 119.</t>
  </si>
  <si>
    <t>Parcialmente alterado dos itens 052 e 053.</t>
  </si>
  <si>
    <t>Parcialmente alterado para o item 051.</t>
  </si>
  <si>
    <t>Parcialmente alterado para o  item 052.</t>
  </si>
  <si>
    <t xml:space="preserve"> Resolução CCAF nº 346, 23/09/2024, Resolução CCAF nº 122, 18/12/2014 e Resolução CCAF nº 013, de 13/04/2009.
Auxílio INOVA SEGER.
Ressalta-se que as demandas de desenvolvimento de estratatégias para aquisição de energia renovável (com ênfase no mercado livre de energia), análise tarigária e análise dos sistemas de geração de distrituição existentes já se encontram contratados com entregas em 2026.</t>
  </si>
  <si>
    <t xml:space="preserve"> Resolução CCAF nº 346, 23/09/2024, Resolução CCAF nº 122, 18/12/2014 e Resolução CCAF nº 013, de 13/04/2009.
Auxílio INOVA SEGER.</t>
  </si>
  <si>
    <t>Filiação anual.</t>
  </si>
  <si>
    <t>Parcialmente alterado para o item 120.</t>
  </si>
  <si>
    <t>Parcialmente alterado do item 099.</t>
  </si>
  <si>
    <t>Parcialmente alterado do item 045.</t>
  </si>
  <si>
    <t>127</t>
  </si>
  <si>
    <t>Aquisição de licença de software de uso perpétuo Microsoft Office Standard LTSC 2024</t>
  </si>
  <si>
    <t>002575 - Aquisição de Bens e Equipamentos de Informática</t>
  </si>
  <si>
    <t>Não será exeutado. Integralmente remanejado para atender ao item 127, via crédito adicional, por meio do Decreto nº 353-S, de 02/03/2026, publicado no DOES em 03/03/2026.</t>
  </si>
  <si>
    <t>Parcialmente remanejado para atender ao item 127, via crédito adicional, por meio do Decreto nº 353-S, de 02/03/2026, publicado no DOES em 03/03/2026.</t>
  </si>
  <si>
    <t>128</t>
  </si>
  <si>
    <t>Auxílio Financeiro para Projeto StartupES (aditivo ao TC 003/2024) - Pagamento de 12 bolsas</t>
  </si>
  <si>
    <t>Auxílio Financeiro para Projeto StartupES (aditivo ao TC 003/2024) - Auxílio Financeiro para aquisição de equipamentos permanentes (2 computadores para design gráfico)</t>
  </si>
  <si>
    <t>Auxílio Financeiro para Projeto StartupES (aditivo ao TC 003/2024) - Auxílio Financeiro para 5 licenças de uso de softwares para design gráfico, gestão e monitoramento dos contratos e testes com startups e automação</t>
  </si>
  <si>
    <t>Auxílio Financeiro para Projeto StartupES (aditivo ao TC 003/2024) - Auxílio Financeiro para 1 licença de uso de banco de imagens e animações para produção de conteúdo audiovisual</t>
  </si>
  <si>
    <t>Auxílio Financeiro para Projeto StartupES (aditivo ao TC 003/2024) - Auxílio Financeiro para aquisição de créditos para uso de Interface de Programação de Aplicações-API de Inteligência Artificial-IA</t>
  </si>
  <si>
    <t>Auxílio Financeiro para Projeto StartupES (aditivo ao TC 003/2024) - Auxílio Financeiro para concessão de diárias e passagens aéreas para pesquisa de inovação na gestão pública</t>
  </si>
  <si>
    <t>DAVI AMORIM SALGUEIRO - GESTOR</t>
  </si>
  <si>
    <t>129</t>
  </si>
  <si>
    <t>130</t>
  </si>
  <si>
    <t>131</t>
  </si>
  <si>
    <t>132</t>
  </si>
  <si>
    <t>133</t>
  </si>
  <si>
    <t>134</t>
  </si>
  <si>
    <t>Construção da Calçada Cidadã de imóvel Dominical (Antigo DPM Ilha do Príncipe)</t>
  </si>
  <si>
    <t>003238 - Gestão de Investimento do Patrimônio Imobiliário</t>
  </si>
  <si>
    <t>Não será executado no corrente exercício. Alterado integralmente via crédito adicional por meio do Decreto nº 353-S, de 02/03/2026, publicado no DOES em 03/03/2026, para o item 134.</t>
  </si>
  <si>
    <t>KARINA CARDOSO BRAGANÇA PENA - GESTORA DO CONTRATO</t>
  </si>
  <si>
    <t>MARCIA DOS SANTOS - COMISSÃO DE FISCALIZAÇÃO</t>
  </si>
  <si>
    <t>SAMARA DE JESUS PEREIRA, RAMON GORONCI SANT’ANA E DAYAN GIUBERTTI MARGON - COMISSÃO FISCALIZADORA</t>
  </si>
  <si>
    <t>UDIMIR RODRIGUES MOREIRA - FISCAL</t>
  </si>
  <si>
    <t>FERNANDA LIRIO COUTINHO, JESSÉ MELLO DE MATOS, EMERSON GARCIA PINHEIRO, NATALIA MOREIRA SOARES DIOGENIS, FABRICIO PEREIRA MARIANO, MANUELLA COSTA ZAMBONI e MILTON HENRIQUE DO COUTO NETO - COMISSÃO GESTORA DO CONTRATO</t>
  </si>
  <si>
    <t>IURI ALEKSEY BANHOS MAMARI - AGENTE DE CONTRATAÇÃO</t>
  </si>
  <si>
    <t>RAFAEL DE OLIVEIRA FONTES - GESTOR DO PROJETO</t>
  </si>
  <si>
    <t>Incluído pelo item 042 e por crédito adicional, por meio do Decreto nº 353-S, de 02/03/2026, publicado no DOES em 03/03/2026, dos itens 063, 064 e 068.</t>
  </si>
  <si>
    <t>Não será executado, alterado via crédito adicional, por meio do Decreto nº 353-S, de 02/03/2026, publicado no DOES em 03/03/2026, para o item 134.</t>
  </si>
  <si>
    <t>Parcialmente alterado via crédito adicional, por meio do Decreto nº 353-S, de 02/03/2026, publicado no DOES em 03/03/2026, para o item 134.</t>
  </si>
  <si>
    <t>Parcialmente alterado via crédito adicional, por meio do Decreto nº 353-S, de 02/03/2026, publicado no DOES em 03/03/2026, para os itens 087, 129 a 133.</t>
  </si>
  <si>
    <t>Incluído por crédito adicional, por meio do Decreto nº 353-S, de 02/03/2026, publicado no DOES em 03/03/2026, do item 088.</t>
  </si>
  <si>
    <t>Incluído por crédito adicional por meio do Decreto nº 353-S, de 02/03/2026, publicado no DOES em 03/03/2026, dos itens 003, 019, 031, 033, 034, 090 e de diárias não utilizadas.</t>
  </si>
  <si>
    <t>MARCIA DOS SANTOS - GESTORA</t>
  </si>
  <si>
    <t xml:space="preserve"> Resolução CCAF nº 192, 07/12/2017. LC nº 964/2021 e Dec. nº 1.459-R, 10/03/2005. 
Nova Contratação de Trainee. Não será executado, alterado para o item 128.</t>
  </si>
  <si>
    <t xml:space="preserve"> Resolução CCAF nº 192, 07/12/2017. LC nº 964/2021 e Dec. nº 1.459-R, 10/03/2005. 
Nova Contratação de Trainee. Não será executado, alterado para os itens 055, 056 e 128.</t>
  </si>
  <si>
    <t xml:space="preserve"> Resolução CCAF nº 192, 07/12/2017. LC nº 964/2021 e Dec. nº 1.459-R, 10/03/2005. 
Vaga de Trainee existente. Alterado pelo item 054.</t>
  </si>
  <si>
    <t>Não será executado, alterado para os itens 069 e 119, e via crédito adicional, por meio do Decreto nº 353-S, de 02/03/2026, publicado no DOES em 03/03/2026, para o item 134.</t>
  </si>
  <si>
    <t>Incluído pelos itens 018, 063 e 121.</t>
  </si>
  <si>
    <t>Alterado do item 045 e parcialmente remanejado para o item 119.</t>
  </si>
  <si>
    <t>Total:</t>
  </si>
  <si>
    <t>GABSEC</t>
  </si>
  <si>
    <t>ASTEC</t>
  </si>
  <si>
    <t>Participação no Congresso Brasileiro de Direito Administrativo - Inscrição</t>
  </si>
  <si>
    <t>GABINETE SUBAP</t>
  </si>
  <si>
    <t>Participação em Congressos na área de gestão de pessoas - Inscrição</t>
  </si>
  <si>
    <t>GABINETE SUBGES</t>
  </si>
  <si>
    <t xml:space="preserve"> Encontros promovidos pelo MGI - Inscrição</t>
  </si>
  <si>
    <t>GFS</t>
  </si>
  <si>
    <t>Curso de EFD-Reinf e DCTFWeb para Administração Pública (Teoria e Prática) - Incluind Geração de Crédito no PER/DCOMP Web e Inserção de Paramentos a Autônomos (Contribuintes Individuais) e MEI no e-Social e Vários Casos Práticos - Inscrição</t>
  </si>
  <si>
    <t>SUCOP</t>
  </si>
  <si>
    <t>Participação no Congresso de Concurso Público - Inscrição</t>
  </si>
  <si>
    <t>GEATI</t>
  </si>
  <si>
    <t>Inteligência artificial (IA) nos fluxos e rotinas de trabalho da Administração Pública - Inscrição</t>
  </si>
  <si>
    <t>Gestão do Patrimônio Imobiliário na Administração Pública - Inscrição</t>
  </si>
  <si>
    <t>13º Encontro Nacional de Obras Públicas e Serviços de Engenharia – ENOP - Inscrição</t>
  </si>
  <si>
    <t xml:space="preserve"> Congresso CONSAD - Inscrição</t>
  </si>
  <si>
    <t>Congresso de Gestão de Pessoas do Espírito Santo - CONEXA H - Inscrição</t>
  </si>
  <si>
    <t>Congresso Nacional de Gestão de Pessoas - CONARH - Inscrição</t>
  </si>
  <si>
    <t xml:space="preserve"> 10º Congresso Brasileiro de Governança - Inscrição</t>
  </si>
  <si>
    <t>Congresso 13º Contratos Week - Inscrição</t>
  </si>
  <si>
    <t>Encontro Dos Gestores de Convênios - Inscrição</t>
  </si>
  <si>
    <t>CAI</t>
  </si>
  <si>
    <t>CEAD 2026 – CONFERÊNCIA DE ENGENHARIA DE AVALIAÇÕES E DIAGNÓSTICA - Inscrição</t>
  </si>
  <si>
    <t>Smart Energy 2026 – Conferência Internacional de Energias Inteligentes - Inscrição</t>
  </si>
  <si>
    <t>Gestão do Patrimônio Público: Estratégias e Práticas Eficazes - Inscrição</t>
  </si>
  <si>
    <t>Curso "A utilização da Inteligência Artificial nas Contratações Públicas" - Inscrição</t>
  </si>
  <si>
    <t>Curso: Completo para Agentes da Contratação e Pregoeiros - Inscrição</t>
  </si>
  <si>
    <t>GECID</t>
  </si>
  <si>
    <t>FGV Educação Executiva – Curso “Experiência do Cliente” - Inscrição</t>
  </si>
  <si>
    <t>GEPAR</t>
  </si>
  <si>
    <t xml:space="preserve"> Evento de Inovação Sas Inovation Tur - Inscrição</t>
  </si>
  <si>
    <t>SUAF</t>
  </si>
  <si>
    <t>Curso de Auditoria Governamental, Controles Interno e Externo, Compliance, Governança e Gestão de Riscos Com base no Manual de Normas dos Trabalhos de Auditoria aplicável ao Setor Público (MNTASP) - Inscrição</t>
  </si>
  <si>
    <t>Curso “IA para Experiência do Cliente” - Inscrição</t>
  </si>
  <si>
    <t>7º Congresso Brasileiro de Compras Públicas - Inscrição</t>
  </si>
  <si>
    <t xml:space="preserve"> Congresso "Planilha de Custos e Formação de Preços de acordo com a IN 05/2017" - Inscrição</t>
  </si>
  <si>
    <t>Curso In company Plano de contratação anual - Contratação de empresa</t>
  </si>
  <si>
    <t>Congresso Nacional de Engenharia de Segurança do Trabalho - Inscrição</t>
  </si>
  <si>
    <t>GESIG</t>
  </si>
  <si>
    <t>FEBRABAN TECH 2026 - Inscrição</t>
  </si>
  <si>
    <t>AGILE TRENDS GOV - Inscrição</t>
  </si>
  <si>
    <t>UECI</t>
  </si>
  <si>
    <t>Curso de gestão e controle - Inscrição</t>
  </si>
  <si>
    <t>SUDEMP</t>
  </si>
  <si>
    <t>41º Congresso Brasileiro de Treinamento e Desenvolvimento - Inscrição</t>
  </si>
  <si>
    <t>Recursos de Vinculados do Tesouro</t>
  </si>
  <si>
    <t>2.899.000110</t>
  </si>
  <si>
    <t>Incluído por crédito adicional, por meio do Decreto nº 850-S, de 22/04/2026, publicado no DOES em 23/04/2026.</t>
  </si>
  <si>
    <t>Treinamento dos Estagiários e Supervisores do Programa Jovens Valores a descentralizar para ESESP - Publicação</t>
  </si>
  <si>
    <t>Treinamento dos Estagiários e Supervisores do Programa Jovens Valores a descentralizar para ESESP - Obrigação Patronal</t>
  </si>
  <si>
    <t xml:space="preserve">Treinamento dos Estagiários e Supervisores do Programa Jovens Valores a descentralizar para ESESP - Docente </t>
  </si>
  <si>
    <t>Curso de Operacionalização do sistema eSocial a descentralizar para ESESP - Docente</t>
  </si>
  <si>
    <t>Curso sobre a Lei complementar 46/94 a descentralizar para ESESP - Docente</t>
  </si>
  <si>
    <t>Plano de Ambientação - Novos Ingressantes Analistas do Executivo a descentralizar para ESESP - Docente</t>
  </si>
  <si>
    <t xml:space="preserve">Curso de Gestores e Servidores com atuação na área meio (GA, GRH, GPO e GFS) a descentralizar para ESESP - Docente </t>
  </si>
  <si>
    <t>Curso de Gestão Estratégica de Frotas a descentralizar para ESESP - Docente</t>
  </si>
  <si>
    <t>Curso de Gestão de Passagens Aéreas a descentralizar para ESESP - Docente</t>
  </si>
  <si>
    <t>Curso de Gestão do Almoxarifado Virtual a descentralizar para ESESP - Docente</t>
  </si>
  <si>
    <t>Curso de Suporte à Avaliação Imobiliária a descentralizar para ESESP - Docente</t>
  </si>
  <si>
    <t>Curso Almoxarifado e Patrimônio a descentralizar para ESESP - Docente</t>
  </si>
  <si>
    <t>Contratação de docentes para atender às capacitações de SST a descentralizar para ESESP - Publicação</t>
  </si>
  <si>
    <t>Contratação de docentes para atender às capacitações de SST a descentralizar para ESESP - Obrigação Patronal</t>
  </si>
  <si>
    <t>Contratação de docentes para atender às capacitações de SST a descentralizar para ESESP - Docente</t>
  </si>
  <si>
    <t>Curso de Gestão Estratégica de Frotas a descentralizar para ESESP - Publicação</t>
  </si>
  <si>
    <t>Curso de Gestão de Passagens Aéreas a descentralizar para ESESP - Publicação</t>
  </si>
  <si>
    <t>Curso de Gestão do Almoxarifado Virtual a descentralizar para ESESP - Publicação</t>
  </si>
  <si>
    <t xml:space="preserve">Curso Almoxarifado e Patrimônio a descentralizar para ESESP - Publicação </t>
  </si>
  <si>
    <t>Curso de Suporte à Avaliação Imobiliária a descentralizar para ESESP - Obrigação Patronal</t>
  </si>
  <si>
    <t>Curso Almoxarifado e Patrimônio a descentralizar para ESESP - Obrigação Patronal</t>
  </si>
  <si>
    <t>Gestão e Controle do Patrimônio: Imobilizado, Intangível, Depreciação, Reavaliação, Desfazimentos e outros aspectos patrimoniais - DLS TREINAMENTOS - Inscrição</t>
  </si>
  <si>
    <t>Capacitações de Qualivida a descentralizar para ESESP - Publicação</t>
  </si>
  <si>
    <t>Capacitações de Qualivida a descentralizar para ESESP  - Obrigação Patronal</t>
  </si>
  <si>
    <t>Capacitações de Qualivida a descentralizar para ESESP - Docente</t>
  </si>
  <si>
    <t>Palestrante para atender às capacitações de Qualivida à descentralizar para ESESP - Contratação de empresa</t>
  </si>
  <si>
    <t>Realização de palestras e oficinas a descentralizar para ESESP - Trilha de Inovação - Obrigação Patronal</t>
  </si>
  <si>
    <t>Realização de palestras e oficinas a descentralizar para ESESP - Trilha de Inovação - Docente</t>
  </si>
  <si>
    <t xml:space="preserve">Realização de oficinas a descentralizar para ESESP - Ciclo de Soluções em Governo - Contratação de empresa </t>
  </si>
  <si>
    <t xml:space="preserve">Contratação de palestrantes (PJ) para os eventos da premiação do INOVES (lançamento e encerramento) - a descentralizar para ESESP - Contratação de empresa </t>
  </si>
  <si>
    <t xml:space="preserve"> Realização de cursos de Sistemas e-Flow, Mapeamento de Processos e Oficina de Representação de Processos a descentralizar para ESESP - Obrigação Patronal</t>
  </si>
  <si>
    <t>Realização de cursos de Sistemas e-Flow, Mapeamento de Processos e Oficina de Representação de Processos a descentralizar para ESESP - Docente</t>
  </si>
  <si>
    <t>Realização de cursos de Sistemas e-Flow, Mapeamento de Processos e Oficina de Representação de Processos a descentralizar para ESESP - Obrigação Patronal</t>
  </si>
  <si>
    <t>Realização de cursos de Sistemas e-Flow, Mapeamento de Processos e Oficina de Representação de Processos a descentralizar para ESESP - Docente Assistente</t>
  </si>
  <si>
    <t>Contratação de empresa para realização de oficinas - Solucionáticas - a descentralizar para FAPES - Auxílio Financeiro a Pesquisadores</t>
  </si>
  <si>
    <t>Sistema Raízes - Perfil RH (Ativos) a descentralizar para ESESP - Publicação</t>
  </si>
  <si>
    <t>Sistema Raízes - Perfil RH (Ativos) a descentralizar para ESESP - Docente</t>
  </si>
  <si>
    <r>
      <t xml:space="preserve">Contrato de gestão de </t>
    </r>
    <r>
      <rPr>
        <i/>
        <sz val="9"/>
        <rFont val="Times New Roman"/>
        <family val="1"/>
      </rPr>
      <t>facilities</t>
    </r>
    <r>
      <rPr>
        <sz val="9"/>
        <rFont val="Times New Roman"/>
        <family val="1"/>
      </rPr>
      <t xml:space="preserve"> para operação, gestão e manutenção da Unidade Fixa do Faça Fácil de Cariacica</t>
    </r>
  </si>
  <si>
    <t>Parcialmente alterado via alteração do quadro de detalhamento de despesa por meio da Portaria nº 021-R, de 23/04/2026, publicada no DOES em 24/04/2026, do item 059</t>
  </si>
  <si>
    <t>Parcialmente alterado via alteração do quadro de detalhamento de despesa por meio da Portaria nº 021-R, de 23/04/2026, publicado na DOES em 24/04/2026, para o item 058</t>
  </si>
  <si>
    <t>2.704.000000</t>
  </si>
  <si>
    <t>Incluído por crédito adicional, por meio do Decreto nº 604-R, de 30/03/2026, publicado no DOES em 31/03/2026.</t>
  </si>
  <si>
    <t>35 - Serviços de Consultoria</t>
  </si>
  <si>
    <t>Contratação de empresa para prestação de serviços técnicos especializados visando a elaboração de manuais e atualização da metodologia para composição de preços referenciais de serviços terceirizados</t>
  </si>
  <si>
    <t>Incluído pelo item 079.</t>
  </si>
  <si>
    <t xml:space="preserve">Solucionática/Comunicação cidadã: Aporte financeiro para subsidiar o desenvolvimento das ações estratégicas vinculadas ao LAB.ges e ao Prêmio Inoves, no âmbito do Programa StartupES, com foco em pesquisa, inovação, desenvolvimento e extensão tecnológica, envolvendo os projetos de testes de solução (solucionática) e estratégias de comunicação cidadã a serem regulamentadas em nova legislação. (aditivo ao TC 003/2024) </t>
  </si>
  <si>
    <t xml:space="preserve">Aquisição de material para oficinas e prototipação: cartolinas, pos-it, canetinhas, etc - (aditivo ao TC 003/2024) </t>
  </si>
  <si>
    <t>CAROLINA BUENO CHEIB - GESTORA</t>
  </si>
  <si>
    <t>Auxílio Financeiro para Projeto StartupES (aditivo ao TC 003/2024) - Auxílio Financeiro para contratação de empresa para soluções e oficinas visando ao desenvolvimento de capacidades de inovação nos servidores e desenvolvimento das atividades do projeto</t>
  </si>
  <si>
    <t>01/06/2026 - 01/09/2026 - 01/12/2026</t>
  </si>
  <si>
    <t>01/05/2026 - 01/07/2026 - 01/10/2026</t>
  </si>
  <si>
    <t>003421 - Serviços Corporativos</t>
  </si>
  <si>
    <t>001243 - Escritório Central de Processos</t>
  </si>
  <si>
    <t>Contratação de empresa para prestação de serviços de manutenção preventiva e corretiva em portas automáticas e manuais, incluindo porta de vidro automática e portão de alumínio veneziano automático, com fornecimento de mão de obra, peças, insumos e componentes originais necessários no intuito de atender à SEGER</t>
  </si>
  <si>
    <t>Fornecimento e instalação de Tapume madeira compensada resinada para atender as demandas do edificio Fabio Ruschi</t>
  </si>
  <si>
    <t>Contratação de empresa especializada para a prestação de serviços de recarga de extintores de incêndio nas unidades da nova sede da SEGER e no Depósito de inservíveis</t>
  </si>
  <si>
    <t>135</t>
  </si>
  <si>
    <t>136</t>
  </si>
  <si>
    <t>137</t>
  </si>
  <si>
    <t>Integralmente alterado para o item 135.</t>
  </si>
  <si>
    <t>Incluído pelos itens 103 a 106, 108, 130 a 132.</t>
  </si>
  <si>
    <t>Parcialmente alterado para o  item 128.</t>
  </si>
  <si>
    <t>Parcialmente alterado para o item 138.</t>
  </si>
  <si>
    <t>138</t>
  </si>
  <si>
    <t>139</t>
  </si>
  <si>
    <t>140</t>
  </si>
  <si>
    <t>31/09/2026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</si>
  <si>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</si>
  <si>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</si>
  <si>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</si>
  <si>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</si>
  <si>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</si>
  <si>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</si>
  <si>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</si>
  <si>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</si>
  <si>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</si>
  <si>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</si>
  <si>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</si>
  <si>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</si>
  <si>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</si>
  <si>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</si>
  <si>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</si>
  <si>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</si>
  <si>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</si>
  <si>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</si>
  <si>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</si>
  <si>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</si>
  <si>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</si>
  <si>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</si>
  <si>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</si>
  <si>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</si>
  <si>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</si>
  <si>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</si>
  <si>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</si>
  <si>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</si>
  <si>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</si>
  <si>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</si>
  <si>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</si>
  <si>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</si>
  <si>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</si>
  <si>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</si>
  <si>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</si>
  <si>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</si>
  <si>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</si>
  <si>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</si>
  <si>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</si>
  <si>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</si>
  <si>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</si>
  <si>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</si>
  <si>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</si>
  <si>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</si>
  <si>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</si>
  <si>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</si>
  <si>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</si>
  <si>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</si>
  <si>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</si>
  <si>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</si>
  <si>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</si>
  <si>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</si>
  <si>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</si>
  <si>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</si>
  <si>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</si>
  <si>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</si>
  <si>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</si>
  <si>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</si>
  <si>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</si>
  <si>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</si>
  <si>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</si>
  <si>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</si>
  <si>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</si>
  <si>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</si>
  <si>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</si>
  <si>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</si>
  <si>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</si>
  <si>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</si>
  <si>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</si>
  <si>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</si>
  <si>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</si>
  <si>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</si>
  <si>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Parcialmente alterado para os itens 139 e 140, restando o saldo de R$ 2.989,00.</t>
  </si>
  <si>
    <t>31/11/2026</t>
  </si>
  <si>
    <t>213</t>
  </si>
  <si>
    <t>Publicação de matéria legal em jornal de grande circulação para atender às demandas de ultimação da COHAB-ES (extinta)</t>
  </si>
  <si>
    <t>Incluído pelo item 047.</t>
  </si>
  <si>
    <t>Resolução CCAF nº 192, 07/12/2017. LC nº 964/2021 e Dec. nº 1.459-R, 10/03/2005. 
Substituição de Trainee. Alterado pelo item 054. Parcialmente alterado para o  item 128.</t>
  </si>
  <si>
    <t>BASE DE CLACULO 2026: JANEIRO, valor de 1 bolsa de trainee de R$ 4.000,00 e 1 Auxílio Moradia de R$ 4.000,00 que é concedido no 1º mês do contrato via Termo de Outorga, TOTALIZANDO R$ 8.000,00 PRA JANEIRO. OUTUBRO (SEMANA DA INOVAÇÃO): valor de 1 bolsa de trainee de R$ 4.000,00. Mais DIÁRIA DE R$ 380,00 para 4 dias = R$ 1.520,00. MAIS 20% de ajuda de deslocamento, R$ 304,00. MAIS passagem aérea de ida e volta pra BRASÍLIA DE R$ 1.700,00. TOTALIZANDO R$ 7.524,00 PARA OUTUBRO. E DEMAIS MESES, R$ 4.000,00 MÊS PARA 1 BOLSA DE TRAINEE. OBS: BASE DE CALCULO 2027, PARA O 2º ANO DO TERMO DE OUTORGA: JANEIRO, valor de 1 bolsa de trainee de R$ 5,500,00 , TOTALIZANDO R$ 5.500,00 PRA JANEIRO. OUTUBRO (SEMANA DA INOVAÇÃO): valor de 1 bolsa de trainee de R$ 5.500,00. Mais DIÁRIA DE R$ 380,00 para 4 dias  = R$ 1.520,00. MAIS 20% de ajuda de descolocamento sob valor de diária, R$ 304,00. MAIS passagem aérea de ida e volta pra BRASÍLIA DE R$ 1.700,00. TOTALIZANDO R$ 9.024,00 PARA OUTUBRO. E DEMAIS MESES, R$ 5.5000,00 MÊS PARA 1 BOLSA DE TRAINEE. Alterado via  crédito adicional, por meio do Decreto nº 353-S, de 02/03/2026, publicado no DOES em 03/03/2026, do item 088. Parcialmente alterado para o  item 128.</t>
  </si>
  <si>
    <t>Recursos de complementação das bolsas que operacionalizam o StartupES até o fim de 2026.  Integralmente alterado para os itens 128 e 135.</t>
  </si>
  <si>
    <t>Recursos de complementação das bolsas que operacionalizam o StartupES até o fim de 2026. Integralmente alterado para o item 128.</t>
  </si>
  <si>
    <t>Incluído pelos itens 050, 054, 056, 057, 060, 076, 081, 087, 108, 112 e 117.</t>
  </si>
  <si>
    <t>Incluído por crédito adicional, por meio do Decreto nº 353-S, de 02/03/2026, publicado no DOES em 03/03/2026, do item 088. Integralmente alterado para os itens 133 e 135.</t>
  </si>
  <si>
    <t>Incluído por crédito adicional, por meio do Decreto nº 353-S, de 02/03/2026, publicado no DOES em 03/03/2026, do item 088. Integralmente alterado para o item 135.</t>
  </si>
  <si>
    <t>Incluído por crédito adicional, por meio do Decreto nº 353-S, de 02/03/2026, publicado no DOES em 03/03/2026, do item 088. Parcialmente alterado pelo item 130.</t>
  </si>
  <si>
    <t>214</t>
  </si>
  <si>
    <t>GEREF</t>
  </si>
  <si>
    <t>Incluído pelo item 191.</t>
  </si>
  <si>
    <t>215</t>
  </si>
  <si>
    <t>216</t>
  </si>
  <si>
    <t>217</t>
  </si>
  <si>
    <t>218</t>
  </si>
  <si>
    <t xml:space="preserve">GABINETE SUBAP </t>
  </si>
  <si>
    <t>Incluído pelo item 143.</t>
  </si>
  <si>
    <t>Incluído por crédito adicional, por meio do Decreto nº 850-S, de 22/04/2026, publicado no DOES em 23/04/2026.  Primeiramente, parcialmente alterado para o item 173, restando saldo de R$ 3.400,00, após retornou  R$ 3.990.</t>
  </si>
  <si>
    <t>219</t>
  </si>
  <si>
    <t xml:space="preserve">SUBAP </t>
  </si>
  <si>
    <t>220</t>
  </si>
  <si>
    <t xml:space="preserve">A DEFINIR </t>
  </si>
  <si>
    <t>Incluído por crédito adicional, por meio do Decreto nº 850-S, de 22/04/2026, publicado no DOES em 23/04/2026. Parcialmente incluído pelo item 155, sendo R$ 5.328,00 de inscrição e R$ 1.152,00 de diárias.</t>
  </si>
  <si>
    <t>GEAG/GEMOB</t>
  </si>
  <si>
    <t>Incluído pelo item 017 e parcialmente pelo 47.</t>
  </si>
  <si>
    <t>GA/GEMOB</t>
  </si>
  <si>
    <t>Incluído por crédito adicional, por meio do Decreto nº 850-S, de 22/04/2026, publicado no DOES em 23/04/2026. Remanjedo para o item 182.</t>
  </si>
  <si>
    <t>Incluído por crédito adicional, por meio do Decreto nº 850-S, de 22/04/2026, publicado no DOES em 23/04/2026. Alterado pelo item 173.</t>
  </si>
  <si>
    <t>Incluído por crédito adicional, por meio do Decreto nº 850-S, de 22/04/2026, publicado no DOES em 23/04/2026.  Alterado pelo item 173 e 182.</t>
  </si>
  <si>
    <t>Incluído por crédito adicional, por meio do Decreto nº 850-S, de 22/04/2026, publicado no DOES em 23/04/2026. Não será executado. O valor foi integralmente remanejado para cobrir diárias.</t>
  </si>
  <si>
    <t>221</t>
  </si>
  <si>
    <t>Programa de Desenvolvimento de Liderança - LíderES: Liderança Transformadora - a descentralizar para ESESP - Docente</t>
  </si>
  <si>
    <t>Programa de Desenvolvimento de Liderança - LíderES: Liderança Transformadora - a descentralizar para ESESP - Obrigação Patronal</t>
  </si>
  <si>
    <t>222</t>
  </si>
  <si>
    <t>223</t>
  </si>
  <si>
    <t>224</t>
  </si>
  <si>
    <t>225</t>
  </si>
  <si>
    <t>226</t>
  </si>
  <si>
    <t>227</t>
  </si>
  <si>
    <t>Incluído pelo item 158. Alterado pelo item 159.</t>
  </si>
  <si>
    <t>Incluído pelo item 158. Parcialmente remanejado para cobrir diárias</t>
  </si>
  <si>
    <t>Alterado pelo item 047.</t>
  </si>
  <si>
    <t>Despesas com Imóveis Desocupados - Obras de engenharia para estabilização de imoveis para manutenção preventiva e corretiva</t>
  </si>
  <si>
    <t>Alterado pelo item 067.</t>
  </si>
  <si>
    <t>Parcialmente alterado para o item 066.</t>
  </si>
  <si>
    <t>Alterado pelo item 063.</t>
  </si>
  <si>
    <t>Capacitação dos Gestores da Secretaria de Justiça - Avaliação Biopsicossocial – MP - a descentralizar para ESESP - Obrigação Patronal</t>
  </si>
  <si>
    <t>Capacitação dos Gestores da Secretaria de Justiça - Avaliação Biopsicossocial – MP - a descentralizar para ESESP - Docente</t>
  </si>
  <si>
    <t>Gestão Imobiliária no Âmbito da Administração Pública Estadual - a descentralizar para ESESP - Docente</t>
  </si>
  <si>
    <t>Gestão Imobiliária no Âmbito da Administração Pública Estadual - a descentralizar para ESESP -  Obrigação Patronal</t>
  </si>
  <si>
    <t>Incluído pelo item 173 e de recursos de diárias.</t>
  </si>
  <si>
    <t>Incluído com recursos de diárias.</t>
  </si>
  <si>
    <t>Alterado com recursos de emolumentos cartorários excedentes.</t>
  </si>
  <si>
    <t>Incluído pelo item 191. Alterado com recursos de diárias e pelo item 159.</t>
  </si>
  <si>
    <t>XVIII Congresso Brasileiro de Direito do Consumidor - Inscrição</t>
  </si>
  <si>
    <t>Parcialmente alterado para diárias.</t>
  </si>
  <si>
    <t>228</t>
  </si>
  <si>
    <t>Aquisição de tapetes para elevadores e recepção</t>
  </si>
  <si>
    <t>Incluído pelo item 124.</t>
  </si>
  <si>
    <t>Nova Aquisição</t>
  </si>
  <si>
    <t>Aquisição de capacho para garagem</t>
  </si>
  <si>
    <t>51 - Peças Não Incorporáveis a Imóveis</t>
  </si>
  <si>
    <t>22 - Material de Limpeza e Produção de Higienização</t>
  </si>
  <si>
    <t>Inscrição(ões) no Curso Folha de Pagamento no Funcionalismo Público</t>
  </si>
  <si>
    <t>Inscrição(ões) no 4° Seminário Nacional de Governança em Gestão de Pessoas</t>
  </si>
  <si>
    <t>Inscrição(ões) no Evento de Gestão de Equipes em Modalidades Flexíveis</t>
  </si>
  <si>
    <t>Incluído pelo item 207.</t>
  </si>
  <si>
    <t>Incluído por crédito adicional, por meio do Decreto nº 850-S, de 22/04/2026, publicado no DOES em 23/04/2026. Não será executado. Foi integralmente remanejado para o item 219.</t>
  </si>
  <si>
    <t>Incluído pelo item 156.</t>
  </si>
  <si>
    <t>229</t>
  </si>
  <si>
    <t xml:space="preserve">Inscrição(ões) para o 24° Congresso de Qualidade de Vida no Trabalho </t>
  </si>
  <si>
    <t>Incluído pelo item 184 e 207.</t>
  </si>
  <si>
    <t>230</t>
  </si>
  <si>
    <t>Incluído por crédito adicional, por meio do Decreto nº 850-S, de 22/04/2026, publicado no DOES em 23/04/2026. Não será executado. Integralmente remanejado para o item 230.</t>
  </si>
  <si>
    <t>Incluído por crédito adicional, por meio do Decreto nº 850-S, de 22/04/2026, publicado no DOES em 23/04/2026. Não será executado. Foi parcialmente remanejado para o item 220, 230 e o restante para diárias.</t>
  </si>
  <si>
    <t>Percentual de 20% a título de INSS Patronal sobre a contratação de docente. Parcialmente alterado para diárias.</t>
  </si>
  <si>
    <t>Incluído por crédito adicional por meio do Decreto nº 186-S, de 06/02/2026, publicado no DOES em 09/02/2026, do item 045 e parcialmente remanejado para o item 228.</t>
  </si>
  <si>
    <t>Incluído por crédito adicional, por meio do Decreto nº 850-S, de 22/04/2026, publicado no DOES em 23/04/2026. Parcialmente remanejado para o item 210 e para o item 221.</t>
  </si>
  <si>
    <t>Incluído por crédito adicional, por meio do Decreto nº 850-S, de 22/04/2026, publicado no DOES em 23/04/2026. Não será executado. O valor foi integralmente remanejado para os itens 222, 223 e 224.</t>
  </si>
  <si>
    <t>Incluído por crédito adicional, por meio do Decreto nº 850-S, de 22/04/2026, publicado no DOES em 23/04/2026. Não será executado. O valor foi parcialmente remanejado para os itens 221, 222 e 215, o restante foi ntegralmente remanejado para cobrir diárias.</t>
  </si>
  <si>
    <t>Incluído por crédito adicional, por meio do Decreto nº 850-S, de 22/04/2026, publicado no DOES em 23/04/2026.  Não será executado. O valor foi integralmente remanejado para o item 221.</t>
  </si>
  <si>
    <t>Incluído por crédito adicional, por meio do Decreto nº 850-S, de 22/04/2026, publicado no DOES em 23/04/2026. Remanejado pelo item 168.</t>
  </si>
  <si>
    <t>Incluído por crédito adicional, por meio do Decreto nº 850-S, de 22/04/2026, publicado no DOES em 23/04/2026.  Parcialmente remanejado para o item 161 e para diáras.</t>
  </si>
  <si>
    <t>Incluído por crédito adicional, por meio do Decreto nº 850-S, de 22/04/2026, publicado no DOES em 23/04/2026. Parcialmente remanejado para diárias.</t>
  </si>
  <si>
    <t>Incluído por crédito adicional, por meio do Decreto nº 850-S, de 22/04/2026, publicado no DOES em 23/04/2026. Parcialmente remanejado para o item 186 e para diárias.</t>
  </si>
  <si>
    <t>Incluído por crédito adicional, por meio do Decreto nº 850-S, de 22/04/2026, publicado no DOES em 23/04/2026. Parcialmente alterado para e pelo o item 179 e para o item 225.</t>
  </si>
  <si>
    <t>Incluído por crédito adicional, por meio do Decreto nº 850-S, de 22/04/2026, publicado no DOES em 23/04/2026. Não será executado. Integralmente remanejado para cobrir diárias.</t>
  </si>
  <si>
    <t>Incluído por crédito adicional, por meio do Decreto nº 850-S, de 22/04/2026, publicado no DOES em 23/04/2026.(Análise da contratação) parcialmente remanejado para o item 214, 215, 216, 217 e diárias.</t>
  </si>
  <si>
    <t>Incluído por crédito adicional, por meio do Decreto nº 850-S, de 22/04/2026, publicado no DOES em 23/04/2026. Parcialmente alterado para o item 201.</t>
  </si>
  <si>
    <t>Incluído por crédito adicional, por meio do Decreto nº 850-S, de 22/04/2026, publicado no DOES em 23/04/2026.  Parcialmente alterado para o item 201.</t>
  </si>
  <si>
    <t>Incluído por crédito adicional, por meio do Decreto nº 850-S, de 22/04/2026, publicado no DOES em 23/04/2026.  Parcialmente alterado pelos itens 199 e 200.</t>
  </si>
  <si>
    <t>Incluído por crédito adicional, por meio do Decreto nº 850-S, de 22/04/2026, publicado no DOES em 23/04/2026. Remanejado do item 205.</t>
  </si>
  <si>
    <t>Incluído por crédito adicional, por meio do Decreto nº 850-S, de 22/04/2026, publicado no DOES em 23/04/2026. Remanejado do item 206.</t>
  </si>
  <si>
    <t>Incluído por crédito adicional, por meio do Decreto nº 850-S, de 22/04/2026, publicado no DOES em 23/04/2026. Parcialmente remanejado para o item 203 e para diárias.</t>
  </si>
  <si>
    <t>Incluído por crédito adicional, por meio do Decreto nº 850-S, de 22/04/2026, publicado no DOES em 23/04/2026. Parcialmente remanejado para o item 204 e para diárias.</t>
  </si>
  <si>
    <t>231</t>
  </si>
  <si>
    <t>21º Encontro Nacional de Secretariado e Gestão de Pessoas</t>
  </si>
  <si>
    <t xml:space="preserve"> ITIL® 5 Foundation - Inscrição</t>
  </si>
  <si>
    <t xml:space="preserve">01/07/2026 - 01/10/2026 </t>
  </si>
  <si>
    <t>Incluído por crédito adicional, por meio do Decreto nº 850-S, de 22/04/2026, publicado no DOES em 23/04/2026. Parcialmente incluido pelo item 178.</t>
  </si>
  <si>
    <t>232</t>
  </si>
  <si>
    <t>Masterclass Reforma Tributária e Contratos Administrativos: riscos, preços e reequilíbrio no novo sistema fiscal</t>
  </si>
  <si>
    <t xml:space="preserve">Incluido pelo item 186. </t>
  </si>
  <si>
    <t>V Congresso Catarinense de Direito Bancário - Desafios Contemporâneos do Sistema Financeiro</t>
  </si>
  <si>
    <t>233</t>
  </si>
  <si>
    <t>234</t>
  </si>
  <si>
    <t>Incluido pelo item 47.</t>
  </si>
  <si>
    <t>8ª Alteração</t>
  </si>
  <si>
    <t>Inscrição(ões) no curso Desenvolvimento Gerencial e o Plano de Atuação Estratégica em Gestão de Pessoas</t>
  </si>
  <si>
    <t>Inscrições no Masterclass Gestão Estratégica de Pessoas, Integridade e Riscos Psicossociais</t>
  </si>
  <si>
    <t xml:space="preserve">Inscrições no curso Auditoria Governamental, Controles Interno e Externo, Compliance Governança e Gestão de Riscos </t>
  </si>
  <si>
    <t>Inscrições no Curso eSocial no âmbito da Administração Pública: com demonstração em Ambiente Oficial</t>
  </si>
  <si>
    <t>Incluido pelo item 150, e com recursos de diárias.</t>
  </si>
  <si>
    <t>235</t>
  </si>
  <si>
    <t>Curso Completo de Gestão de Pessoas (RH) na Administração Pública</t>
  </si>
  <si>
    <t>Incluído com recursos de diárias e do item 221.</t>
  </si>
  <si>
    <t>Congresso "20º Pregão Week" - Inscrição</t>
  </si>
  <si>
    <t>Incluido com recursos de diárias.</t>
  </si>
  <si>
    <t>Contratação de empresa especializada no serviços periódicos de limpeza, desobstrução e higienização de sistemas de esgoto (caixas de passagem, gordura e inspeção/visita, fossa séptica e filtro), a serem executados nas áreas internas e externas da sede da SEGER</t>
  </si>
  <si>
    <t>Existe uma sobra de R$ 12.620,00 do exercício de 2026.</t>
  </si>
  <si>
    <t>Sobra de R$ 51,20</t>
  </si>
  <si>
    <t>Sobra de R$ 131,00</t>
  </si>
  <si>
    <t>Sobra de R$ 6.597,28</t>
  </si>
  <si>
    <t>Parcialmente alterado para o item 213, 140, 009,  229, 235 e 139.</t>
  </si>
  <si>
    <t>Incluído pelo item 017. Incluindo parcialmente pelo item 47.</t>
  </si>
  <si>
    <t>Incluído por crédito adicional, por meio do Decreto nº 850-S, de 22/04/2026, publicado no DOES em 23/04/2026. Parcialmente remanejado para o item 218 e o restante para diárias.</t>
  </si>
  <si>
    <t>Incluído por crédito adicional, por meio do Decreto nº 850-S, de 22/04/2026, publicado no DOES em 23/04/2026. Integralmente remanejado para diárias.</t>
  </si>
  <si>
    <t>Incluído por crédito adicional, por meio do Decreto nº 850-S, de 22/04/2026, publicado no DOES em 23/04/2026. Não será executado, integralmente remanejado para o item 231.</t>
  </si>
  <si>
    <t>Incluído por crédito adicional, por meio do Decreto nº 850-S, de 22/04/2026, publicado no DOES em 23/04/2026. Parcialmente incluído pelo item 177.</t>
  </si>
  <si>
    <t>Incluído por crédito adicional, por meio do Decreto nº 850-S, de 22/04/2026, publicado no DOES em 23/04/2026.  Parcialemente incluído pelo item 177 e 176.</t>
  </si>
  <si>
    <t>Incluído por crédito adicional, por meio do Decreto nº 850-S, de 22/04/2026, publicado no DOES em 23/04/2026. Parcialmente incluido pelo item 188.</t>
  </si>
  <si>
    <t>Incluído por crédito adicional, por meio do Decreto nº 850-S, de 22/04/2026, publicado no DOES em 23/04/2026. Não será executado, integralmente remanejado para diárias.</t>
  </si>
  <si>
    <t>Incluído por crédito adicional, por meio do Decreto nº 850-S, de 22/04/2026, publicado no DOES em 23/04/2026. Parcialemente remanejado para o item 172.</t>
  </si>
  <si>
    <t>Incluído por crédito adicional, por meio do Decreto nº 850-S, de 22/04/2026, publicado no DOES em 23/04/2026. Parcialmente remanejado para o item 153 e 170.</t>
  </si>
  <si>
    <t>Incluído por crédito adicional, por meio do Decreto nº 850-S, de 22/04/2026, publicado no DOES em 23/04/2026. Não será executado, integralmente remanejado para o item 198.</t>
  </si>
  <si>
    <t>Incluído por crédito adicional, por meio do Decreto nº 850-S, de 22/04/2026, publicado no DOES em 23/04/2026. Alterado pelo item 171. Parcialmente remanejado para item 234, 232 e para diárias.</t>
  </si>
  <si>
    <t>Incluído por crédito adicional, por meio do Decreto nº 850-S, de 22/04/2026, publicado no DOES em 23/04/2026. Parcialemnte remanejado para o item 174.</t>
  </si>
  <si>
    <t>Incluído pelo item 155. Alterado pelos itens 159 e 160. Parcialmente remanejado para o item 234 e para diárias.</t>
  </si>
  <si>
    <t>Não foi executado. Sobra de R$ 58.295,00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</si>
</sst>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</numFmts>
  <fonts count="31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rgb="FF000000"/>
      <name val="Times New Roman"/>
      <family val="1"/>
    </font>
    <font>
      <sz val="10"/>
      <color theme="0"/>
      <name val="Times New Roman"/>
      <family val="1"/>
    </font>
    <font>
      <b/>
      <sz val="9"/>
      <color theme="0"/>
      <name val="Times New Roman"/>
      <family val="1"/>
    </font>
    <font>
      <sz val="9"/>
      <color rgb="FF000000"/>
      <name val="Times New Roman"/>
      <family val="1"/>
    </font>
    <font>
      <sz val="9"/>
      <color theme="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14"/>
      <color theme="0"/>
      <name val="Times New Roman"/>
      <family val="1"/>
    </font>
    <font>
      <sz val="9"/>
      <color theme="4" tint="-0.249977111117893"/>
      <name val="Times New Roman"/>
      <family val="1"/>
    </font>
    <font>
      <b/>
      <sz val="9"/>
      <color theme="4" tint="-0.249977111117893"/>
      <name val="Times New Roman"/>
      <family val="1"/>
    </font>
    <font>
      <sz val="10"/>
      <name val="Arial"/>
      <family val="2"/>
    </font>
    <font>
      <b/>
      <sz val="9"/>
      <color theme="7" tint="0.59999389629810485"/>
      <name val="Times New Roman"/>
      <family val="1"/>
    </font>
    <font>
      <sz val="10"/>
      <color rgb="FF000000"/>
      <name val="Arial"/>
      <family val="2"/>
      <scheme val="minor"/>
    </font>
    <font>
      <sz val="9"/>
      <color theme="7" tint="0.59999389629810485"/>
      <name val="Times New Roman"/>
      <family val="1"/>
    </font>
    <font>
      <sz val="9"/>
      <color theme="7" tint="0.39997558519241921"/>
      <name val="Times New Roman"/>
      <family val="1"/>
    </font>
    <font>
      <b/>
      <sz val="10"/>
      <color theme="0"/>
      <name val="Times New Roman"/>
      <family val="1"/>
    </font>
    <font>
      <sz val="12"/>
      <color rgb="FF000000"/>
      <name val="Times New Roman"/>
      <family val="1"/>
    </font>
    <font>
      <b/>
      <sz val="14"/>
      <color theme="1"/>
      <name val="Times New Roman"/>
      <family val="1"/>
    </font>
    <font>
      <sz val="8"/>
      <name val="Arial"/>
      <family val="2"/>
      <scheme val="minor"/>
    </font>
    <font>
      <sz val="10"/>
      <name val="Times New Roman"/>
      <family val="1"/>
    </font>
    <font>
      <strike/>
      <sz val="10"/>
      <name val="Times New Roman"/>
      <family val="1"/>
    </font>
    <font>
      <strike/>
      <sz val="9"/>
      <name val="Times New Roman"/>
      <family val="1"/>
    </font>
    <font>
      <i/>
      <sz val="9"/>
      <name val="Times New Roman"/>
      <family val="1"/>
    </font>
    <font>
      <sz val="10"/>
      <color theme="1"/>
      <name val="Times New Roman"/>
      <family val="1"/>
    </font>
    <font>
      <sz val="9"/>
      <color rgb="FFFFFFFF"/>
      <name val="Times New Roman"/>
      <family val="1"/>
    </font>
    <font>
      <strike/>
      <sz val="9"/>
      <color rgb="FFFFFFFF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9999"/>
        <bgColor rgb="FFD9D9D9"/>
      </patternFill>
    </fill>
    <fill>
      <patternFill patternType="solid">
        <fgColor rgb="FF009999"/>
        <bgColor rgb="FFB4C6E7"/>
      </patternFill>
    </fill>
    <fill>
      <patternFill patternType="solid">
        <fgColor rgb="FF0099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7">
    <xf numFmtId="0" fontId="0" fillId="0" borderId="0"/>
    <xf numFmtId="0" fontId="2" fillId="0" borderId="0"/>
    <xf numFmtId="0" fontId="13" fillId="0" borderId="0" applyNumberFormat="0" applyFont="0" applyFill="0" applyBorder="0" applyAlignment="0" applyProtection="0"/>
    <xf numFmtId="0" fontId="1" fillId="0" borderId="0"/>
    <xf numFmtId="0" fontId="13" fillId="0" borderId="0"/>
    <xf numFmtId="0" fontId="13" fillId="0" borderId="0"/>
    <xf numFmtId="44" fontId="15" fillId="0" borderId="0" applyFont="0" applyFill="0" applyBorder="0" applyAlignment="0" applyProtection="0"/>
  </cellStyleXfs>
  <cellXfs count="109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3" fontId="6" fillId="0" borderId="0" xfId="0" applyNumberFormat="1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 wrapText="1"/>
    </xf>
    <xf numFmtId="14" fontId="12" fillId="0" borderId="0" xfId="1" applyNumberFormat="1" applyFont="1" applyAlignment="1">
      <alignment vertical="center" wrapText="1"/>
    </xf>
    <xf numFmtId="4" fontId="6" fillId="0" borderId="0" xfId="0" applyNumberFormat="1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4" fontId="14" fillId="4" borderId="2" xfId="0" applyNumberFormat="1" applyFont="1" applyFill="1" applyBorder="1" applyAlignment="1">
      <alignment horizontal="center" vertical="center" wrapText="1"/>
    </xf>
    <xf numFmtId="14" fontId="14" fillId="3" borderId="2" xfId="0" applyNumberFormat="1" applyFont="1" applyFill="1" applyBorder="1" applyAlignment="1">
      <alignment horizontal="center" vertical="center" wrapText="1"/>
    </xf>
    <xf numFmtId="43" fontId="7" fillId="0" borderId="0" xfId="0" applyNumberFormat="1" applyFont="1" applyFill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43" fontId="7" fillId="5" borderId="0" xfId="0" applyNumberFormat="1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18" fillId="3" borderId="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44" fontId="19" fillId="0" borderId="0" xfId="6" applyFont="1" applyAlignment="1">
      <alignment horizontal="justify" wrapText="1"/>
    </xf>
    <xf numFmtId="0" fontId="19" fillId="0" borderId="0" xfId="0" applyFont="1" applyAlignment="1">
      <alignment horizontal="justify" wrapText="1"/>
    </xf>
    <xf numFmtId="0" fontId="20" fillId="0" borderId="0" xfId="0" applyFont="1" applyAlignment="1">
      <alignment horizontal="justify" wrapText="1"/>
    </xf>
    <xf numFmtId="44" fontId="20" fillId="0" borderId="0" xfId="0" applyNumberFormat="1" applyFont="1" applyAlignment="1">
      <alignment horizontal="justify" wrapText="1"/>
    </xf>
    <xf numFmtId="14" fontId="5" fillId="3" borderId="9" xfId="0" applyNumberFormat="1" applyFont="1" applyFill="1" applyBorder="1" applyAlignment="1">
      <alignment horizontal="center" vertical="center" wrapText="1"/>
    </xf>
    <xf numFmtId="0" fontId="8" fillId="0" borderId="0" xfId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43" fontId="9" fillId="0" borderId="0" xfId="0" applyNumberFormat="1" applyFont="1" applyFill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3" fontId="9" fillId="0" borderId="1" xfId="0" applyNumberFormat="1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horizontal="center" vertical="center" wrapText="1"/>
    </xf>
    <xf numFmtId="14" fontId="24" fillId="0" borderId="1" xfId="0" applyNumberFormat="1" applyFont="1" applyBorder="1" applyAlignment="1">
      <alignment horizontal="center" vertical="center" wrapText="1"/>
    </xf>
    <xf numFmtId="43" fontId="24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" fontId="24" fillId="2" borderId="1" xfId="0" applyNumberFormat="1" applyFont="1" applyFill="1" applyBorder="1" applyAlignment="1">
      <alignment horizontal="center" vertical="center" wrapText="1"/>
    </xf>
    <xf numFmtId="4" fontId="24" fillId="0" borderId="1" xfId="0" applyNumberFormat="1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49" fontId="22" fillId="7" borderId="1" xfId="0" applyNumberFormat="1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49" fontId="9" fillId="7" borderId="1" xfId="0" applyNumberFormat="1" applyFont="1" applyFill="1" applyBorder="1" applyAlignment="1">
      <alignment horizontal="center" vertical="center" wrapText="1"/>
    </xf>
    <xf numFmtId="4" fontId="9" fillId="8" borderId="1" xfId="0" applyNumberFormat="1" applyFont="1" applyFill="1" applyBorder="1" applyAlignment="1">
      <alignment horizontal="center" vertical="center" wrapText="1"/>
    </xf>
    <xf numFmtId="14" fontId="9" fillId="7" borderId="1" xfId="0" applyNumberFormat="1" applyFont="1" applyFill="1" applyBorder="1" applyAlignment="1">
      <alignment horizontal="center" vertical="center" wrapText="1"/>
    </xf>
    <xf numFmtId="43" fontId="9" fillId="7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24" fillId="6" borderId="1" xfId="0" applyFont="1" applyFill="1" applyBorder="1" applyAlignment="1">
      <alignment horizontal="center" vertical="center" wrapText="1"/>
    </xf>
    <xf numFmtId="14" fontId="24" fillId="0" borderId="1" xfId="0" applyNumberFormat="1" applyFont="1" applyFill="1" applyBorder="1" applyAlignment="1">
      <alignment horizontal="center" vertical="center" wrapText="1"/>
    </xf>
    <xf numFmtId="4" fontId="9" fillId="7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9" fillId="0" borderId="0" xfId="0" applyNumberFormat="1" applyFont="1" applyFill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24" fillId="7" borderId="1" xfId="0" applyFont="1" applyFill="1" applyBorder="1" applyAlignment="1">
      <alignment horizontal="center" vertical="center" wrapText="1"/>
    </xf>
    <xf numFmtId="14" fontId="24" fillId="7" borderId="1" xfId="0" applyNumberFormat="1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49" fontId="24" fillId="7" borderId="1" xfId="0" applyNumberFormat="1" applyFont="1" applyFill="1" applyBorder="1" applyAlignment="1">
      <alignment horizontal="center" vertical="center" wrapText="1"/>
    </xf>
    <xf numFmtId="4" fontId="24" fillId="7" borderId="1" xfId="0" applyNumberFormat="1" applyFont="1" applyFill="1" applyBorder="1" applyAlignment="1">
      <alignment horizontal="center" vertical="center" wrapText="1"/>
    </xf>
    <xf numFmtId="8" fontId="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43" fontId="27" fillId="5" borderId="1" xfId="0" applyNumberFormat="1" applyFont="1" applyFill="1" applyBorder="1" applyAlignment="1">
      <alignment horizontal="center" vertical="center" wrapText="1"/>
    </xf>
    <xf numFmtId="43" fontId="28" fillId="5" borderId="1" xfId="0" applyNumberFormat="1" applyFont="1" applyFill="1" applyBorder="1" applyAlignment="1">
      <alignment horizontal="center" vertical="center" wrapText="1"/>
    </xf>
    <xf numFmtId="44" fontId="29" fillId="0" borderId="0" xfId="6" applyFont="1" applyAlignment="1">
      <alignment horizontal="justify" wrapText="1"/>
    </xf>
    <xf numFmtId="44" fontId="30" fillId="0" borderId="0" xfId="0" applyNumberFormat="1" applyFont="1" applyAlignment="1">
      <alignment horizontal="justify" wrapText="1"/>
    </xf>
    <xf numFmtId="49" fontId="23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1" applyFont="1" applyAlignment="1">
      <alignment horizontal="right" vertical="center" wrapText="1"/>
    </xf>
    <xf numFmtId="0" fontId="8" fillId="0" borderId="7" xfId="1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8" fillId="0" borderId="4" xfId="1" applyFont="1" applyBorder="1" applyAlignment="1">
      <alignment horizontal="left" vertical="center" wrapText="1"/>
    </xf>
    <xf numFmtId="0" fontId="8" fillId="0" borderId="5" xfId="1" applyFont="1" applyBorder="1" applyAlignment="1">
      <alignment horizontal="left" vertical="center" wrapText="1"/>
    </xf>
    <xf numFmtId="0" fontId="8" fillId="0" borderId="6" xfId="1" applyFont="1" applyBorder="1" applyAlignment="1">
      <alignment horizontal="left" vertical="center" wrapText="1"/>
    </xf>
    <xf numFmtId="14" fontId="8" fillId="0" borderId="4" xfId="1" applyNumberFormat="1" applyFont="1" applyBorder="1" applyAlignment="1">
      <alignment horizontal="left" vertical="center" wrapText="1"/>
    </xf>
    <xf numFmtId="14" fontId="8" fillId="0" borderId="5" xfId="1" applyNumberFormat="1" applyFont="1" applyBorder="1" applyAlignment="1">
      <alignment horizontal="left" vertical="center" wrapText="1"/>
    </xf>
    <xf numFmtId="14" fontId="8" fillId="0" borderId="6" xfId="1" applyNumberFormat="1" applyFont="1" applyBorder="1" applyAlignment="1">
      <alignment horizontal="left" vertical="center" wrapText="1"/>
    </xf>
  </cellXfs>
  <cellStyles count="7">
    <cellStyle name="Moeda" xfId="6" builtinId="4"/>
    <cellStyle name="Normal" xfId="0" builtinId="0"/>
    <cellStyle name="Normal 2" xfId="1" xr:uid="{00000000-0005-0000-0000-000002000000}"/>
    <cellStyle name="Normal 2 2" xfId="3" xr:uid="{00000000-0005-0000-0000-000003000000}"/>
    <cellStyle name="Normal 2 2 2" xfId="5" xr:uid="{00000000-0005-0000-0000-000004000000}"/>
    <cellStyle name="Normal 3" xfId="2" xr:uid="{00000000-0005-0000-0000-000005000000}"/>
    <cellStyle name="Normal 4" xfId="4" xr:uid="{00000000-0005-0000-0000-000006000000}"/>
  </cellStyles>
  <dxfs count="0"/>
  <tableStyles count="0" defaultTableStyle="TableStyleMedium2" defaultPivotStyle="PivotStyleLight16"/>
  <colors>
    <mruColors>
      <color rgb="FFFFFFFF"/>
      <color rgb="FF009999"/>
      <color rgb="FF008080"/>
      <color rgb="FF006666"/>
      <color rgb="FFBCD3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PO/2026/2%20-%20LOA/Metas%20F&#237;sicas/Conclus&#227;o%20do%20PPA2024-2027/Conclus&#227;o%20do%20PPA2024-2027/280101/SUBAD/GECOR/PPA-2024-2027%20-%20SEGER%20-%20Proje&#231;&#227;o%20das%20Despesas%20-%20GECO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Zaupa\Downloads\Users\ticiana.zaupa\AppData\Local\Microsoft\Windows\INetCache\Content.Outlook\Y6MTLEM4\LOA-2020%20E%20PPA%202020-2023%20-%20280101%20-%20GECOR%20(2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Zaupa\Downloads\Users\MICRO\AppData\Local\Microsoft\Windows\Temporary%20Internet%20Files\Content.Outlook\GIC3PUE5\Vers&#227;o%20final%20LOA-2020%20E%20PPA%202020-2023%20-%20280101%20-%20NAS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ÇÃO 2077"/>
      <sheetName val="AÇÃO 4251"/>
      <sheetName val="LISTAS"/>
    </sheetNames>
    <sheetDataSet>
      <sheetData sheetId="0" refreshError="1"/>
      <sheetData sheetId="1" refreshError="1"/>
      <sheetData sheetId="2">
        <row r="2">
          <cell r="Y2" t="str">
            <v>GERÊNCIA DE APOIO À GESTÃO-GEAG</v>
          </cell>
          <cell r="AB2" t="str">
            <v>GERÊNCIA DE PATRIMÔNIO ESTADUAL-GEPAE</v>
          </cell>
        </row>
        <row r="14">
          <cell r="R14" t="str">
            <v>GABINETE SUBAD</v>
          </cell>
          <cell r="Y14" t="str">
            <v>GEAG</v>
          </cell>
          <cell r="Z14" t="str">
            <v>GECOR</v>
          </cell>
          <cell r="AA14" t="str">
            <v>GECOV</v>
          </cell>
          <cell r="AB14" t="str">
            <v>GEPAE</v>
          </cell>
          <cell r="AC14" t="str">
            <v>NUINF</v>
          </cell>
          <cell r="AD14" t="str">
            <v>GELIC</v>
          </cell>
        </row>
        <row r="15">
          <cell r="Y15" t="str">
            <v>GA</v>
          </cell>
          <cell r="Z15" t="str">
            <v>SUCOD</v>
          </cell>
          <cell r="AA15" t="str">
            <v>SUBCONV</v>
          </cell>
          <cell r="AB15" t="str">
            <v>SUPAI</v>
          </cell>
          <cell r="AC15" t="str">
            <v>GESIS</v>
          </cell>
          <cell r="AD15" t="str">
            <v>SUCAF</v>
          </cell>
        </row>
        <row r="16">
          <cell r="Y16" t="str">
            <v>GFS</v>
          </cell>
          <cell r="Z16" t="str">
            <v>SUCOR</v>
          </cell>
          <cell r="AA16" t="str">
            <v>SUMAAIC</v>
          </cell>
          <cell r="AB16" t="str">
            <v>SUPAM</v>
          </cell>
          <cell r="AD16" t="str">
            <v>SUBCAM</v>
          </cell>
        </row>
        <row r="17">
          <cell r="Y17" t="str">
            <v>GPO</v>
          </cell>
          <cell r="AB17" t="str">
            <v>CAI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UÇÃO DA LOA 2018 E 2019"/>
      <sheetName val="DESC. DESPESA E VALOR - 2070"/>
      <sheetName val="DESC. DESPESA E VALOR - 2077"/>
      <sheetName val="DESC. DESPESA E VALOR - 4251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8">
          <cell r="M8" t="str">
            <v>Certificação Digital</v>
          </cell>
        </row>
        <row r="9">
          <cell r="M9" t="str">
            <v>Eficiência Energética e Sustentabilidade</v>
          </cell>
        </row>
        <row r="10">
          <cell r="M10" t="str">
            <v>Frota e Deslocamento de Pessoas</v>
          </cell>
        </row>
        <row r="11">
          <cell r="M11" t="str">
            <v>Preços Referenciais (vigilância e limpeza)</v>
          </cell>
        </row>
        <row r="12">
          <cell r="M12" t="str">
            <v>Programa de Gestão Documental - PROGED</v>
          </cell>
        </row>
        <row r="13">
          <cell r="M13" t="str">
            <v>Serviços Terceirizados</v>
          </cell>
        </row>
        <row r="14">
          <cell r="M14" t="str">
            <v>Telefonia e Rede de Dados</v>
          </cell>
        </row>
        <row r="15">
          <cell r="M15" t="str">
            <v>Viagem Técnica/Palestrar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UÇÃO DA LOA 2018 E 2019"/>
      <sheetName val="DESC. DESPESA E VALOR - 2077"/>
      <sheetName val="DESC. DESPESA E VALOR - 4250"/>
      <sheetName val="LISTAS"/>
    </sheetNames>
    <sheetDataSet>
      <sheetData sheetId="0" refreshError="1"/>
      <sheetData sheetId="1" refreshError="1"/>
      <sheetData sheetId="2" refreshError="1"/>
      <sheetData sheetId="3">
        <row r="5">
          <cell r="M5" t="str">
            <v>Qualivida: Programa de Atenção à Saúde</v>
          </cell>
        </row>
        <row r="6">
          <cell r="M6" t="str">
            <v>Qualivida: Programa de Preparação para Aposentadoria</v>
          </cell>
        </row>
        <row r="7">
          <cell r="M7" t="str">
            <v>Qualivida: Programa de Educação Financeira</v>
          </cell>
        </row>
        <row r="8">
          <cell r="M8" t="str">
            <v>Qualivida: Sistema de Gestão de Qualidade de Vida</v>
          </cell>
        </row>
        <row r="9">
          <cell r="M9" t="str">
            <v>Viagem Técnica/Palestrar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891AD"/>
      </a:accent1>
      <a:accent2>
        <a:srgbClr val="004561"/>
      </a:accent2>
      <a:accent3>
        <a:srgbClr val="FF6F31"/>
      </a:accent3>
      <a:accent4>
        <a:srgbClr val="1C7685"/>
      </a:accent4>
      <a:accent5>
        <a:srgbClr val="0F45A8"/>
      </a:accent5>
      <a:accent6>
        <a:srgbClr val="4CDC8B"/>
      </a:accent6>
      <a:hlink>
        <a:srgbClr val="0097A7"/>
      </a:hlink>
      <a:folHlink>
        <a:srgbClr val="0097A7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267"/>
  <sheetViews>
    <sheetView showGridLines="0" tabSelected="1" topLeftCell="M181" zoomScale="110" zoomScaleNormal="110" zoomScaleSheetLayoutView="80" workbookViewId="0">
      <selection activeCell="R191" sqref="R191"/>
    </sheetView>
  </sheetViews>
  <sheetFormatPr defaultColWidth="12.5703125" defaultRowHeight="15.75" customHeight="1" x14ac:dyDescent="0.2"/>
  <cols>
    <col min="1" max="1" width="0.85546875" style="1" customWidth="1"/>
    <col min="2" max="2" width="7.7109375" style="1" customWidth="1"/>
    <col min="3" max="3" width="17" style="14" customWidth="1"/>
    <col min="4" max="4" width="17.5703125" style="14" customWidth="1"/>
    <col min="5" max="5" width="16.28515625" style="14" customWidth="1"/>
    <col min="6" max="6" width="46" style="3" customWidth="1"/>
    <col min="7" max="7" width="32.28515625" style="3" customWidth="1"/>
    <col min="8" max="8" width="26.5703125" style="3" customWidth="1"/>
    <col min="9" max="9" width="29.140625" style="3" customWidth="1"/>
    <col min="10" max="10" width="41.140625" style="3" customWidth="1"/>
    <col min="11" max="11" width="26.5703125" style="3" customWidth="1"/>
    <col min="12" max="12" width="23.42578125" style="14" customWidth="1"/>
    <col min="13" max="13" width="14.85546875" style="15" customWidth="1"/>
    <col min="14" max="14" width="27.85546875" style="14" customWidth="1"/>
    <col min="15" max="15" width="23.140625" style="14" customWidth="1"/>
    <col min="16" max="16" width="73" style="3" customWidth="1"/>
    <col min="17" max="17" width="19" style="3" customWidth="1"/>
    <col min="18" max="18" width="14.85546875" style="8" customWidth="1"/>
    <col min="19" max="22" width="18.7109375" style="5" customWidth="1"/>
    <col min="23" max="23" width="17" style="22" customWidth="1"/>
    <col min="24" max="24" width="18.5703125" style="4" customWidth="1"/>
    <col min="25" max="25" width="45.42578125" style="3" customWidth="1"/>
    <col min="26" max="26" width="56.5703125" style="3" customWidth="1"/>
    <col min="27" max="16384" width="12.5703125" style="1"/>
  </cols>
  <sheetData>
    <row r="1" spans="2:26" ht="5.0999999999999996" customHeight="1" x14ac:dyDescent="0.2"/>
    <row r="2" spans="2:26" ht="21" customHeight="1" x14ac:dyDescent="0.2">
      <c r="B2" s="98" t="s">
        <v>263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25" t="s">
        <v>13</v>
      </c>
      <c r="Z2" s="25">
        <v>2026</v>
      </c>
    </row>
    <row r="3" spans="2:26" ht="12.75" x14ac:dyDescent="0.2">
      <c r="C3" s="3"/>
      <c r="D3" s="3"/>
      <c r="E3" s="3"/>
      <c r="L3" s="3"/>
      <c r="M3" s="3"/>
      <c r="N3" s="3"/>
      <c r="O3" s="3"/>
      <c r="P3" s="8"/>
      <c r="Q3" s="5"/>
      <c r="R3" s="6"/>
      <c r="S3" s="6"/>
      <c r="T3" s="6"/>
      <c r="U3" s="6"/>
      <c r="V3" s="6"/>
      <c r="W3" s="6"/>
    </row>
    <row r="4" spans="2:26" ht="15" customHeight="1" x14ac:dyDescent="0.2">
      <c r="C4" s="100" t="s">
        <v>264</v>
      </c>
      <c r="D4" s="100"/>
      <c r="E4" s="100"/>
      <c r="F4" s="101"/>
      <c r="G4" s="103" t="s">
        <v>11</v>
      </c>
      <c r="H4" s="104"/>
      <c r="I4" s="105"/>
      <c r="L4" s="3"/>
      <c r="M4" s="3"/>
      <c r="N4" s="3"/>
      <c r="O4" s="3"/>
      <c r="P4" s="8"/>
      <c r="Q4" s="5"/>
      <c r="R4" s="6"/>
      <c r="S4" s="6"/>
      <c r="T4" s="6"/>
      <c r="U4" s="6"/>
      <c r="V4" s="6"/>
      <c r="W4" s="7"/>
      <c r="Y4" s="4"/>
      <c r="Z4" s="4"/>
    </row>
    <row r="5" spans="2:26" ht="5.0999999999999996" customHeight="1" x14ac:dyDescent="0.2">
      <c r="C5" s="38"/>
      <c r="D5" s="38"/>
      <c r="E5" s="38"/>
      <c r="F5" s="38"/>
      <c r="G5" s="26"/>
      <c r="H5" s="26"/>
      <c r="I5" s="26"/>
      <c r="J5" s="13"/>
      <c r="K5" s="13"/>
      <c r="L5" s="3"/>
      <c r="M5" s="3"/>
      <c r="N5" s="3"/>
      <c r="O5" s="3"/>
      <c r="P5" s="8"/>
      <c r="Q5" s="5"/>
      <c r="R5" s="6"/>
      <c r="S5" s="6"/>
      <c r="T5" s="6"/>
      <c r="U5" s="6"/>
      <c r="V5" s="6"/>
      <c r="W5" s="7"/>
      <c r="Y5" s="4"/>
      <c r="Z5" s="4"/>
    </row>
    <row r="6" spans="2:26" ht="15" customHeight="1" x14ac:dyDescent="0.2">
      <c r="C6" s="100" t="s">
        <v>265</v>
      </c>
      <c r="D6" s="100"/>
      <c r="E6" s="100"/>
      <c r="F6" s="100"/>
      <c r="G6" s="103" t="s">
        <v>12</v>
      </c>
      <c r="H6" s="104"/>
      <c r="I6" s="105"/>
      <c r="L6" s="3"/>
      <c r="M6" s="3"/>
      <c r="N6" s="3"/>
      <c r="O6" s="3"/>
      <c r="P6" s="8"/>
      <c r="Q6" s="5"/>
      <c r="R6" s="6"/>
      <c r="S6" s="6"/>
      <c r="T6" s="6"/>
      <c r="U6" s="6"/>
      <c r="V6" s="6"/>
      <c r="W6" s="7"/>
      <c r="Y6" s="4"/>
      <c r="Z6" s="4"/>
    </row>
    <row r="7" spans="2:26" ht="5.0999999999999996" customHeight="1" x14ac:dyDescent="0.2">
      <c r="C7" s="38"/>
      <c r="D7" s="38"/>
      <c r="E7" s="38"/>
      <c r="F7" s="38"/>
      <c r="G7" s="27"/>
      <c r="H7" s="27"/>
      <c r="I7" s="26"/>
      <c r="L7" s="3"/>
      <c r="M7" s="3"/>
      <c r="N7" s="3"/>
      <c r="O7" s="3"/>
      <c r="P7" s="8"/>
      <c r="Q7" s="5"/>
      <c r="R7" s="6"/>
      <c r="S7" s="6"/>
      <c r="T7" s="6"/>
      <c r="U7" s="6"/>
      <c r="V7" s="6"/>
      <c r="W7" s="7"/>
      <c r="Y7" s="4"/>
      <c r="Z7" s="4"/>
    </row>
    <row r="8" spans="2:26" ht="12.75" customHeight="1" x14ac:dyDescent="0.2">
      <c r="C8" s="100" t="s">
        <v>266</v>
      </c>
      <c r="D8" s="100"/>
      <c r="E8" s="100"/>
      <c r="F8" s="100"/>
      <c r="G8" s="103" t="s">
        <v>267</v>
      </c>
      <c r="H8" s="104"/>
      <c r="I8" s="105"/>
      <c r="L8" s="3"/>
      <c r="M8" s="3"/>
      <c r="N8" s="3"/>
      <c r="O8" s="3"/>
      <c r="P8" s="8"/>
      <c r="Q8" s="5"/>
      <c r="R8" s="6"/>
      <c r="S8" s="6"/>
      <c r="T8" s="6"/>
      <c r="U8" s="6"/>
      <c r="V8" s="6"/>
      <c r="W8" s="6"/>
      <c r="Y8" s="4"/>
      <c r="Z8" s="4"/>
    </row>
    <row r="9" spans="2:26" ht="5.0999999999999996" customHeight="1" x14ac:dyDescent="0.2">
      <c r="C9" s="39"/>
      <c r="D9" s="39"/>
      <c r="E9" s="39"/>
      <c r="F9" s="40"/>
      <c r="G9" s="26"/>
      <c r="H9" s="26"/>
      <c r="I9" s="26"/>
      <c r="L9" s="3"/>
      <c r="M9" s="3"/>
      <c r="N9" s="3"/>
      <c r="O9" s="3"/>
      <c r="P9" s="8"/>
      <c r="Q9" s="5"/>
      <c r="R9" s="6"/>
      <c r="S9" s="6"/>
      <c r="T9" s="6"/>
      <c r="U9" s="6"/>
      <c r="V9" s="6"/>
      <c r="W9" s="6"/>
      <c r="Y9" s="4"/>
      <c r="Z9" s="4"/>
    </row>
    <row r="10" spans="2:26" ht="12.75" customHeight="1" x14ac:dyDescent="0.2">
      <c r="C10" s="100" t="s">
        <v>268</v>
      </c>
      <c r="D10" s="100"/>
      <c r="E10" s="100"/>
      <c r="F10" s="100"/>
      <c r="G10" s="103" t="s">
        <v>794</v>
      </c>
      <c r="H10" s="104"/>
      <c r="I10" s="105"/>
      <c r="L10" s="3"/>
      <c r="M10" s="3"/>
      <c r="N10" s="3"/>
      <c r="O10" s="3"/>
      <c r="P10" s="8"/>
      <c r="Q10" s="5"/>
      <c r="R10" s="6"/>
      <c r="S10" s="6"/>
      <c r="T10" s="6"/>
      <c r="U10" s="6"/>
      <c r="V10" s="6"/>
      <c r="W10" s="6"/>
      <c r="Y10" s="4"/>
      <c r="Z10" s="4"/>
    </row>
    <row r="11" spans="2:26" ht="5.0999999999999996" customHeight="1" x14ac:dyDescent="0.2">
      <c r="C11" s="39"/>
      <c r="D11" s="39"/>
      <c r="E11" s="39"/>
      <c r="F11" s="40"/>
      <c r="G11" s="73"/>
      <c r="H11" s="73"/>
      <c r="I11" s="73"/>
      <c r="L11" s="3"/>
      <c r="M11" s="3"/>
      <c r="N11" s="3"/>
      <c r="O11" s="3"/>
      <c r="P11" s="8"/>
      <c r="Q11" s="5"/>
      <c r="R11" s="6"/>
      <c r="S11" s="6"/>
      <c r="T11" s="6"/>
      <c r="U11" s="6"/>
      <c r="V11" s="6"/>
      <c r="W11" s="6"/>
      <c r="Y11" s="4"/>
      <c r="Z11" s="4"/>
    </row>
    <row r="12" spans="2:26" ht="12.75" customHeight="1" x14ac:dyDescent="0.2">
      <c r="C12" s="100" t="s">
        <v>269</v>
      </c>
      <c r="D12" s="100"/>
      <c r="E12" s="100"/>
      <c r="F12" s="100"/>
      <c r="G12" s="106">
        <v>46241</v>
      </c>
      <c r="H12" s="107"/>
      <c r="I12" s="108"/>
      <c r="L12" s="3"/>
      <c r="M12" s="3"/>
      <c r="N12" s="3"/>
      <c r="O12" s="3"/>
      <c r="P12" s="8"/>
      <c r="Q12" s="5"/>
      <c r="R12" s="6"/>
      <c r="S12" s="6"/>
      <c r="T12" s="6"/>
      <c r="U12" s="6"/>
      <c r="V12" s="6"/>
      <c r="W12" s="6"/>
      <c r="Y12" s="4"/>
      <c r="Z12" s="4"/>
    </row>
    <row r="13" spans="2:26" ht="5.0999999999999996" customHeight="1" x14ac:dyDescent="0.2">
      <c r="C13" s="40"/>
      <c r="D13" s="40"/>
      <c r="E13" s="40"/>
      <c r="F13" s="40"/>
      <c r="L13" s="3"/>
      <c r="M13" s="3"/>
      <c r="N13" s="3"/>
      <c r="O13" s="3"/>
      <c r="P13" s="8"/>
      <c r="Q13" s="5"/>
      <c r="R13" s="6"/>
      <c r="S13" s="6"/>
      <c r="T13" s="6"/>
      <c r="U13" s="6"/>
      <c r="V13" s="6"/>
      <c r="W13" s="6"/>
      <c r="Y13" s="4"/>
      <c r="Z13" s="4"/>
    </row>
    <row r="14" spans="2:26" ht="12.75" x14ac:dyDescent="0.2">
      <c r="C14" s="3"/>
      <c r="D14" s="3"/>
      <c r="E14" s="3"/>
      <c r="L14" s="3"/>
      <c r="M14" s="3"/>
      <c r="N14" s="3"/>
      <c r="O14" s="3"/>
      <c r="P14" s="8"/>
      <c r="Q14" s="5"/>
      <c r="R14" s="6"/>
      <c r="S14" s="6"/>
      <c r="T14" s="6"/>
      <c r="U14" s="6"/>
      <c r="V14" s="6"/>
      <c r="W14" s="6"/>
      <c r="Y14" s="4"/>
      <c r="Z14" s="4"/>
    </row>
    <row r="15" spans="2:26" ht="12.75" x14ac:dyDescent="0.2"/>
    <row r="16" spans="2:26" ht="49.5" customHeight="1" x14ac:dyDescent="0.2">
      <c r="B16" s="16" t="s">
        <v>291</v>
      </c>
      <c r="C16" s="16" t="s">
        <v>5</v>
      </c>
      <c r="D16" s="16" t="s">
        <v>3</v>
      </c>
      <c r="E16" s="18" t="s">
        <v>6</v>
      </c>
      <c r="F16" s="16" t="s">
        <v>74</v>
      </c>
      <c r="G16" s="16" t="s">
        <v>75</v>
      </c>
      <c r="H16" s="16" t="s">
        <v>259</v>
      </c>
      <c r="I16" s="18" t="s">
        <v>7</v>
      </c>
      <c r="J16" s="19" t="s">
        <v>240</v>
      </c>
      <c r="K16" s="18" t="s">
        <v>33</v>
      </c>
      <c r="L16" s="18" t="s">
        <v>10</v>
      </c>
      <c r="M16" s="18" t="s">
        <v>226</v>
      </c>
      <c r="N16" s="18" t="s">
        <v>0</v>
      </c>
      <c r="O16" s="18" t="s">
        <v>54</v>
      </c>
      <c r="P16" s="19" t="s">
        <v>56</v>
      </c>
      <c r="Q16" s="18" t="s">
        <v>1</v>
      </c>
      <c r="R16" s="20" t="s">
        <v>2</v>
      </c>
      <c r="S16" s="21" t="s">
        <v>55</v>
      </c>
      <c r="T16" s="37" t="s">
        <v>288</v>
      </c>
      <c r="U16" s="37" t="s">
        <v>289</v>
      </c>
      <c r="V16" s="37" t="s">
        <v>290</v>
      </c>
      <c r="W16" s="23" t="s">
        <v>57</v>
      </c>
      <c r="X16" s="17" t="s">
        <v>239</v>
      </c>
      <c r="Y16" s="19" t="s">
        <v>4</v>
      </c>
      <c r="Z16" s="19" t="s">
        <v>36</v>
      </c>
    </row>
    <row r="17" spans="1:26" ht="39.950000000000003" customHeight="1" x14ac:dyDescent="0.2">
      <c r="B17" s="44" t="s">
        <v>292</v>
      </c>
      <c r="C17" s="45" t="s">
        <v>40</v>
      </c>
      <c r="D17" s="11" t="s">
        <v>21</v>
      </c>
      <c r="E17" s="11" t="s">
        <v>21</v>
      </c>
      <c r="F17" s="9" t="s">
        <v>81</v>
      </c>
      <c r="G17" s="9" t="s">
        <v>82</v>
      </c>
      <c r="H17" s="9" t="s">
        <v>258</v>
      </c>
      <c r="I17" s="9" t="s">
        <v>8</v>
      </c>
      <c r="J17" s="9" t="s">
        <v>255</v>
      </c>
      <c r="K17" s="9" t="s">
        <v>241</v>
      </c>
      <c r="L17" s="11" t="s">
        <v>261</v>
      </c>
      <c r="M17" s="46" t="s">
        <v>229</v>
      </c>
      <c r="N17" s="11" t="s">
        <v>60</v>
      </c>
      <c r="O17" s="11" t="s">
        <v>64</v>
      </c>
      <c r="P17" s="9" t="s">
        <v>83</v>
      </c>
      <c r="Q17" s="9" t="s">
        <v>43</v>
      </c>
      <c r="R17" s="12">
        <v>1</v>
      </c>
      <c r="S17" s="43">
        <v>45732</v>
      </c>
      <c r="T17" s="43">
        <v>46097</v>
      </c>
      <c r="U17" s="43" t="s">
        <v>285</v>
      </c>
      <c r="V17" s="43">
        <v>46461</v>
      </c>
      <c r="W17" s="91">
        <v>57000</v>
      </c>
      <c r="X17" s="47">
        <v>0</v>
      </c>
      <c r="Y17" s="9" t="s">
        <v>590</v>
      </c>
      <c r="Z17" s="9" t="s">
        <v>441</v>
      </c>
    </row>
    <row r="18" spans="1:26" ht="39.950000000000003" customHeight="1" x14ac:dyDescent="0.2">
      <c r="B18" s="44" t="s">
        <v>293</v>
      </c>
      <c r="C18" s="45" t="s">
        <v>40</v>
      </c>
      <c r="D18" s="11" t="s">
        <v>14</v>
      </c>
      <c r="E18" s="11" t="s">
        <v>27</v>
      </c>
      <c r="F18" s="9" t="s">
        <v>78</v>
      </c>
      <c r="G18" s="9" t="s">
        <v>76</v>
      </c>
      <c r="H18" s="9" t="s">
        <v>258</v>
      </c>
      <c r="I18" s="9" t="s">
        <v>8</v>
      </c>
      <c r="J18" s="9" t="s">
        <v>255</v>
      </c>
      <c r="K18" s="9" t="s">
        <v>242</v>
      </c>
      <c r="L18" s="11" t="s">
        <v>261</v>
      </c>
      <c r="M18" s="46" t="s">
        <v>229</v>
      </c>
      <c r="N18" s="11" t="s">
        <v>58</v>
      </c>
      <c r="O18" s="11" t="s">
        <v>68</v>
      </c>
      <c r="P18" s="9" t="s">
        <v>84</v>
      </c>
      <c r="Q18" s="9" t="s">
        <v>51</v>
      </c>
      <c r="R18" s="12">
        <v>1</v>
      </c>
      <c r="S18" s="43">
        <v>46023</v>
      </c>
      <c r="T18" s="43" t="s">
        <v>285</v>
      </c>
      <c r="U18" s="43" t="s">
        <v>285</v>
      </c>
      <c r="V18" s="43" t="s">
        <v>285</v>
      </c>
      <c r="W18" s="91">
        <v>452100</v>
      </c>
      <c r="X18" s="47">
        <v>0</v>
      </c>
      <c r="Y18" s="9" t="s">
        <v>477</v>
      </c>
      <c r="Z18" s="9"/>
    </row>
    <row r="19" spans="1:26" ht="39.950000000000003" customHeight="1" x14ac:dyDescent="0.2">
      <c r="B19" s="44" t="s">
        <v>294</v>
      </c>
      <c r="C19" s="45" t="s">
        <v>40</v>
      </c>
      <c r="D19" s="11" t="s">
        <v>14</v>
      </c>
      <c r="E19" s="11" t="s">
        <v>27</v>
      </c>
      <c r="F19" s="9" t="s">
        <v>78</v>
      </c>
      <c r="G19" s="9" t="s">
        <v>76</v>
      </c>
      <c r="H19" s="9" t="s">
        <v>258</v>
      </c>
      <c r="I19" s="9" t="s">
        <v>8</v>
      </c>
      <c r="J19" s="9" t="s">
        <v>256</v>
      </c>
      <c r="K19" s="9" t="s">
        <v>242</v>
      </c>
      <c r="L19" s="11" t="s">
        <v>261</v>
      </c>
      <c r="M19" s="46" t="s">
        <v>229</v>
      </c>
      <c r="N19" s="11" t="s">
        <v>60</v>
      </c>
      <c r="O19" s="11" t="s">
        <v>69</v>
      </c>
      <c r="P19" s="9" t="s">
        <v>86</v>
      </c>
      <c r="Q19" s="9" t="s">
        <v>51</v>
      </c>
      <c r="R19" s="12">
        <v>1</v>
      </c>
      <c r="S19" s="43">
        <v>44988</v>
      </c>
      <c r="T19" s="43" t="s">
        <v>285</v>
      </c>
      <c r="U19" s="43" t="s">
        <v>285</v>
      </c>
      <c r="V19" s="43">
        <v>46814</v>
      </c>
      <c r="W19" s="91">
        <f>1200000-260242</f>
        <v>939758</v>
      </c>
      <c r="X19" s="47">
        <v>1560000</v>
      </c>
      <c r="Y19" s="9" t="s">
        <v>171</v>
      </c>
      <c r="Z19" s="57" t="s">
        <v>456</v>
      </c>
    </row>
    <row r="20" spans="1:26" ht="39.950000000000003" customHeight="1" x14ac:dyDescent="0.2">
      <c r="B20" s="44" t="s">
        <v>295</v>
      </c>
      <c r="C20" s="45" t="s">
        <v>40</v>
      </c>
      <c r="D20" s="11" t="s">
        <v>14</v>
      </c>
      <c r="E20" s="11" t="s">
        <v>27</v>
      </c>
      <c r="F20" s="9" t="s">
        <v>78</v>
      </c>
      <c r="G20" s="9" t="s">
        <v>76</v>
      </c>
      <c r="H20" s="9" t="s">
        <v>258</v>
      </c>
      <c r="I20" s="9" t="s">
        <v>8</v>
      </c>
      <c r="J20" s="9" t="s">
        <v>255</v>
      </c>
      <c r="K20" s="9" t="s">
        <v>242</v>
      </c>
      <c r="L20" s="11" t="s">
        <v>261</v>
      </c>
      <c r="M20" s="46" t="s">
        <v>229</v>
      </c>
      <c r="N20" s="11" t="s">
        <v>35</v>
      </c>
      <c r="O20" s="11" t="s">
        <v>66</v>
      </c>
      <c r="P20" s="9" t="s">
        <v>87</v>
      </c>
      <c r="Q20" s="9" t="s">
        <v>47</v>
      </c>
      <c r="R20" s="12">
        <v>12</v>
      </c>
      <c r="S20" s="43">
        <v>46144</v>
      </c>
      <c r="T20" s="43" t="s">
        <v>285</v>
      </c>
      <c r="U20" s="43" t="s">
        <v>285</v>
      </c>
      <c r="V20" s="43">
        <v>46509</v>
      </c>
      <c r="W20" s="91">
        <v>13600</v>
      </c>
      <c r="X20" s="47">
        <v>8500</v>
      </c>
      <c r="Y20" s="9" t="s">
        <v>72</v>
      </c>
      <c r="Z20" s="9"/>
    </row>
    <row r="21" spans="1:26" ht="39.950000000000003" customHeight="1" x14ac:dyDescent="0.2">
      <c r="B21" s="44" t="s">
        <v>296</v>
      </c>
      <c r="C21" s="45" t="s">
        <v>40</v>
      </c>
      <c r="D21" s="11" t="s">
        <v>14</v>
      </c>
      <c r="E21" s="11" t="s">
        <v>27</v>
      </c>
      <c r="F21" s="9" t="s">
        <v>78</v>
      </c>
      <c r="G21" s="9" t="s">
        <v>76</v>
      </c>
      <c r="H21" s="9" t="s">
        <v>258</v>
      </c>
      <c r="I21" s="9" t="s">
        <v>8</v>
      </c>
      <c r="J21" s="9" t="s">
        <v>255</v>
      </c>
      <c r="K21" s="9" t="s">
        <v>242</v>
      </c>
      <c r="L21" s="11" t="s">
        <v>261</v>
      </c>
      <c r="M21" s="46" t="s">
        <v>229</v>
      </c>
      <c r="N21" s="11" t="s">
        <v>60</v>
      </c>
      <c r="O21" s="11" t="s">
        <v>66</v>
      </c>
      <c r="P21" s="9" t="s">
        <v>88</v>
      </c>
      <c r="Q21" s="9" t="s">
        <v>47</v>
      </c>
      <c r="R21" s="12">
        <v>12</v>
      </c>
      <c r="S21" s="43">
        <v>45538</v>
      </c>
      <c r="T21" s="43">
        <v>46268</v>
      </c>
      <c r="U21" s="43" t="s">
        <v>285</v>
      </c>
      <c r="V21" s="43">
        <v>45902</v>
      </c>
      <c r="W21" s="91">
        <v>21600</v>
      </c>
      <c r="X21" s="47">
        <v>0</v>
      </c>
      <c r="Y21" s="9" t="s">
        <v>72</v>
      </c>
      <c r="Z21" s="9"/>
    </row>
    <row r="22" spans="1:26" ht="39.950000000000003" customHeight="1" x14ac:dyDescent="0.2">
      <c r="B22" s="44" t="s">
        <v>297</v>
      </c>
      <c r="C22" s="45" t="s">
        <v>40</v>
      </c>
      <c r="D22" s="11" t="s">
        <v>14</v>
      </c>
      <c r="E22" s="11" t="s">
        <v>27</v>
      </c>
      <c r="F22" s="9" t="s">
        <v>78</v>
      </c>
      <c r="G22" s="9" t="s">
        <v>76</v>
      </c>
      <c r="H22" s="9" t="s">
        <v>258</v>
      </c>
      <c r="I22" s="9" t="s">
        <v>8</v>
      </c>
      <c r="J22" s="9" t="s">
        <v>255</v>
      </c>
      <c r="K22" s="9" t="s">
        <v>242</v>
      </c>
      <c r="L22" s="11" t="s">
        <v>261</v>
      </c>
      <c r="M22" s="46" t="s">
        <v>229</v>
      </c>
      <c r="N22" s="11" t="s">
        <v>60</v>
      </c>
      <c r="O22" s="11" t="s">
        <v>68</v>
      </c>
      <c r="P22" s="9" t="s">
        <v>89</v>
      </c>
      <c r="Q22" s="9" t="s">
        <v>51</v>
      </c>
      <c r="R22" s="12">
        <v>1</v>
      </c>
      <c r="S22" s="43">
        <v>46023</v>
      </c>
      <c r="T22" s="43" t="s">
        <v>285</v>
      </c>
      <c r="U22" s="43" t="s">
        <v>285</v>
      </c>
      <c r="V22" s="43" t="s">
        <v>285</v>
      </c>
      <c r="W22" s="91">
        <v>411000</v>
      </c>
      <c r="X22" s="47">
        <v>0</v>
      </c>
      <c r="Y22" s="9" t="s">
        <v>477</v>
      </c>
      <c r="Z22" s="9"/>
    </row>
    <row r="23" spans="1:26" ht="39.950000000000003" customHeight="1" x14ac:dyDescent="0.2">
      <c r="B23" s="44" t="s">
        <v>298</v>
      </c>
      <c r="C23" s="45" t="s">
        <v>40</v>
      </c>
      <c r="D23" s="11" t="s">
        <v>14</v>
      </c>
      <c r="E23" s="11" t="s">
        <v>27</v>
      </c>
      <c r="F23" s="9" t="s">
        <v>78</v>
      </c>
      <c r="G23" s="9" t="s">
        <v>76</v>
      </c>
      <c r="H23" s="9" t="s">
        <v>258</v>
      </c>
      <c r="I23" s="9" t="s">
        <v>8</v>
      </c>
      <c r="J23" s="9" t="s">
        <v>255</v>
      </c>
      <c r="K23" s="9" t="s">
        <v>242</v>
      </c>
      <c r="L23" s="11" t="s">
        <v>261</v>
      </c>
      <c r="M23" s="46" t="s">
        <v>229</v>
      </c>
      <c r="N23" s="11" t="s">
        <v>60</v>
      </c>
      <c r="O23" s="11" t="s">
        <v>68</v>
      </c>
      <c r="P23" s="9" t="s">
        <v>90</v>
      </c>
      <c r="Q23" s="9" t="s">
        <v>51</v>
      </c>
      <c r="R23" s="12">
        <v>1</v>
      </c>
      <c r="S23" s="43">
        <v>46023</v>
      </c>
      <c r="T23" s="43" t="s">
        <v>285</v>
      </c>
      <c r="U23" s="43" t="s">
        <v>285</v>
      </c>
      <c r="V23" s="43" t="s">
        <v>285</v>
      </c>
      <c r="W23" s="91">
        <v>149000</v>
      </c>
      <c r="X23" s="47">
        <v>0</v>
      </c>
      <c r="Y23" s="9" t="s">
        <v>477</v>
      </c>
      <c r="Z23" s="9"/>
    </row>
    <row r="24" spans="1:26" ht="39.950000000000003" customHeight="1" x14ac:dyDescent="0.2">
      <c r="B24" s="44" t="s">
        <v>299</v>
      </c>
      <c r="C24" s="45" t="s">
        <v>40</v>
      </c>
      <c r="D24" s="11" t="s">
        <v>14</v>
      </c>
      <c r="E24" s="11" t="s">
        <v>27</v>
      </c>
      <c r="F24" s="9" t="s">
        <v>78</v>
      </c>
      <c r="G24" s="9" t="s">
        <v>76</v>
      </c>
      <c r="H24" s="9" t="s">
        <v>258</v>
      </c>
      <c r="I24" s="9" t="s">
        <v>8</v>
      </c>
      <c r="J24" s="9" t="s">
        <v>255</v>
      </c>
      <c r="K24" s="9" t="s">
        <v>242</v>
      </c>
      <c r="L24" s="11" t="s">
        <v>261</v>
      </c>
      <c r="M24" s="46" t="s">
        <v>229</v>
      </c>
      <c r="N24" s="11" t="s">
        <v>60</v>
      </c>
      <c r="O24" s="11" t="s">
        <v>68</v>
      </c>
      <c r="P24" s="9" t="s">
        <v>91</v>
      </c>
      <c r="Q24" s="9" t="s">
        <v>51</v>
      </c>
      <c r="R24" s="12">
        <v>1</v>
      </c>
      <c r="S24" s="43">
        <v>46023</v>
      </c>
      <c r="T24" s="43" t="s">
        <v>285</v>
      </c>
      <c r="U24" s="43" t="s">
        <v>285</v>
      </c>
      <c r="V24" s="43" t="s">
        <v>285</v>
      </c>
      <c r="W24" s="91">
        <v>163900</v>
      </c>
      <c r="X24" s="47">
        <v>0</v>
      </c>
      <c r="Y24" s="9" t="s">
        <v>477</v>
      </c>
      <c r="Z24" s="9"/>
    </row>
    <row r="25" spans="1:26" ht="39.950000000000003" customHeight="1" x14ac:dyDescent="0.2">
      <c r="A25" s="64"/>
      <c r="B25" s="65" t="s">
        <v>300</v>
      </c>
      <c r="C25" s="66" t="s">
        <v>40</v>
      </c>
      <c r="D25" s="67" t="s">
        <v>14</v>
      </c>
      <c r="E25" s="67" t="s">
        <v>27</v>
      </c>
      <c r="F25" s="67" t="s">
        <v>78</v>
      </c>
      <c r="G25" s="67" t="s">
        <v>76</v>
      </c>
      <c r="H25" s="67" t="s">
        <v>258</v>
      </c>
      <c r="I25" s="67" t="s">
        <v>8</v>
      </c>
      <c r="J25" s="67" t="s">
        <v>255</v>
      </c>
      <c r="K25" s="67" t="s">
        <v>242</v>
      </c>
      <c r="L25" s="67" t="s">
        <v>261</v>
      </c>
      <c r="M25" s="68" t="s">
        <v>229</v>
      </c>
      <c r="N25" s="67" t="s">
        <v>35</v>
      </c>
      <c r="O25" s="67" t="s">
        <v>68</v>
      </c>
      <c r="P25" s="67" t="s">
        <v>92</v>
      </c>
      <c r="Q25" s="67" t="s">
        <v>51</v>
      </c>
      <c r="R25" s="69">
        <v>1</v>
      </c>
      <c r="S25" s="70">
        <v>46113</v>
      </c>
      <c r="T25" s="70" t="s">
        <v>285</v>
      </c>
      <c r="U25" s="70" t="s">
        <v>285</v>
      </c>
      <c r="V25" s="70" t="s">
        <v>285</v>
      </c>
      <c r="W25" s="91">
        <f>3000+11408.58</f>
        <v>14408.58</v>
      </c>
      <c r="X25" s="71">
        <v>0</v>
      </c>
      <c r="Y25" s="67" t="s">
        <v>417</v>
      </c>
      <c r="Z25" s="9" t="s">
        <v>728</v>
      </c>
    </row>
    <row r="26" spans="1:26" ht="39.950000000000003" customHeight="1" x14ac:dyDescent="0.2">
      <c r="B26" s="44" t="s">
        <v>301</v>
      </c>
      <c r="C26" s="45" t="s">
        <v>40</v>
      </c>
      <c r="D26" s="11" t="s">
        <v>14</v>
      </c>
      <c r="E26" s="11" t="s">
        <v>27</v>
      </c>
      <c r="F26" s="9" t="s">
        <v>78</v>
      </c>
      <c r="G26" s="9" t="s">
        <v>93</v>
      </c>
      <c r="H26" s="9" t="s">
        <v>258</v>
      </c>
      <c r="I26" s="9" t="s">
        <v>8</v>
      </c>
      <c r="J26" s="9" t="s">
        <v>255</v>
      </c>
      <c r="K26" s="9" t="s">
        <v>243</v>
      </c>
      <c r="L26" s="11" t="s">
        <v>261</v>
      </c>
      <c r="M26" s="46" t="s">
        <v>229</v>
      </c>
      <c r="N26" s="11" t="s">
        <v>60</v>
      </c>
      <c r="O26" s="11" t="s">
        <v>69</v>
      </c>
      <c r="P26" s="11" t="s">
        <v>94</v>
      </c>
      <c r="Q26" s="9" t="s">
        <v>50</v>
      </c>
      <c r="R26" s="12">
        <v>77</v>
      </c>
      <c r="S26" s="43">
        <v>45210</v>
      </c>
      <c r="T26" s="43">
        <v>46064</v>
      </c>
      <c r="U26" s="43">
        <v>46023</v>
      </c>
      <c r="V26" s="43">
        <v>46793</v>
      </c>
      <c r="W26" s="91">
        <v>6048000</v>
      </c>
      <c r="X26" s="47">
        <v>7056000</v>
      </c>
      <c r="Y26" s="9" t="s">
        <v>475</v>
      </c>
      <c r="Z26" s="9"/>
    </row>
    <row r="27" spans="1:26" ht="39.950000000000003" customHeight="1" x14ac:dyDescent="0.2">
      <c r="B27" s="44" t="s">
        <v>302</v>
      </c>
      <c r="C27" s="45" t="s">
        <v>40</v>
      </c>
      <c r="D27" s="11" t="s">
        <v>14</v>
      </c>
      <c r="E27" s="11" t="s">
        <v>27</v>
      </c>
      <c r="F27" s="9" t="s">
        <v>78</v>
      </c>
      <c r="G27" s="9" t="s">
        <v>76</v>
      </c>
      <c r="H27" s="9" t="s">
        <v>258</v>
      </c>
      <c r="I27" s="9" t="s">
        <v>8</v>
      </c>
      <c r="J27" s="9" t="s">
        <v>255</v>
      </c>
      <c r="K27" s="9" t="s">
        <v>244</v>
      </c>
      <c r="L27" s="11" t="s">
        <v>261</v>
      </c>
      <c r="M27" s="46" t="s">
        <v>229</v>
      </c>
      <c r="N27" s="11" t="s">
        <v>60</v>
      </c>
      <c r="O27" s="11" t="s">
        <v>67</v>
      </c>
      <c r="P27" s="11" t="s">
        <v>95</v>
      </c>
      <c r="Q27" s="9" t="s">
        <v>51</v>
      </c>
      <c r="R27" s="12">
        <v>1</v>
      </c>
      <c r="S27" s="43">
        <v>45692</v>
      </c>
      <c r="T27" s="43">
        <v>46421</v>
      </c>
      <c r="U27" s="43" t="s">
        <v>285</v>
      </c>
      <c r="V27" s="43">
        <v>46420</v>
      </c>
      <c r="W27" s="91">
        <v>213088</v>
      </c>
      <c r="X27" s="47">
        <v>33087.490000000005</v>
      </c>
      <c r="Y27" s="9" t="s">
        <v>487</v>
      </c>
      <c r="Z27" s="9"/>
    </row>
    <row r="28" spans="1:26" ht="39.950000000000003" customHeight="1" x14ac:dyDescent="0.2">
      <c r="B28" s="44" t="s">
        <v>303</v>
      </c>
      <c r="C28" s="45" t="s">
        <v>40</v>
      </c>
      <c r="D28" s="11" t="s">
        <v>14</v>
      </c>
      <c r="E28" s="11" t="s">
        <v>27</v>
      </c>
      <c r="F28" s="9" t="s">
        <v>78</v>
      </c>
      <c r="G28" s="9" t="s">
        <v>76</v>
      </c>
      <c r="H28" s="9" t="s">
        <v>258</v>
      </c>
      <c r="I28" s="9" t="s">
        <v>8</v>
      </c>
      <c r="J28" s="9" t="s">
        <v>255</v>
      </c>
      <c r="K28" s="9" t="s">
        <v>242</v>
      </c>
      <c r="L28" s="11" t="s">
        <v>261</v>
      </c>
      <c r="M28" s="46" t="s">
        <v>229</v>
      </c>
      <c r="N28" s="11" t="s">
        <v>35</v>
      </c>
      <c r="O28" s="11" t="s">
        <v>68</v>
      </c>
      <c r="P28" s="11" t="s">
        <v>96</v>
      </c>
      <c r="Q28" s="9" t="s">
        <v>47</v>
      </c>
      <c r="R28" s="10">
        <v>8</v>
      </c>
      <c r="S28" s="43">
        <v>46143</v>
      </c>
      <c r="T28" s="43" t="s">
        <v>285</v>
      </c>
      <c r="U28" s="43" t="s">
        <v>285</v>
      </c>
      <c r="V28" s="43" t="s">
        <v>286</v>
      </c>
      <c r="W28" s="91">
        <f>41600</f>
        <v>41600</v>
      </c>
      <c r="X28" s="47">
        <f>20800-20800+86440+57460</f>
        <v>143900</v>
      </c>
      <c r="Y28" s="9" t="s">
        <v>184</v>
      </c>
      <c r="Z28" s="9" t="s">
        <v>806</v>
      </c>
    </row>
    <row r="29" spans="1:26" ht="39.950000000000003" customHeight="1" x14ac:dyDescent="0.2">
      <c r="B29" s="44" t="s">
        <v>304</v>
      </c>
      <c r="C29" s="45" t="s">
        <v>40</v>
      </c>
      <c r="D29" s="11" t="s">
        <v>14</v>
      </c>
      <c r="E29" s="11" t="s">
        <v>27</v>
      </c>
      <c r="F29" s="9" t="s">
        <v>78</v>
      </c>
      <c r="G29" s="9" t="s">
        <v>76</v>
      </c>
      <c r="H29" s="9" t="s">
        <v>258</v>
      </c>
      <c r="I29" s="9" t="s">
        <v>8</v>
      </c>
      <c r="J29" s="9" t="s">
        <v>255</v>
      </c>
      <c r="K29" s="9" t="s">
        <v>244</v>
      </c>
      <c r="L29" s="11" t="s">
        <v>261</v>
      </c>
      <c r="M29" s="46" t="s">
        <v>229</v>
      </c>
      <c r="N29" s="11" t="s">
        <v>58</v>
      </c>
      <c r="O29" s="11" t="s">
        <v>61</v>
      </c>
      <c r="P29" s="11" t="s">
        <v>97</v>
      </c>
      <c r="Q29" s="9" t="s">
        <v>41</v>
      </c>
      <c r="R29" s="10">
        <v>1</v>
      </c>
      <c r="S29" s="43">
        <v>44548</v>
      </c>
      <c r="T29" s="43" t="s">
        <v>285</v>
      </c>
      <c r="U29" s="43" t="s">
        <v>285</v>
      </c>
      <c r="V29" s="43">
        <v>46006</v>
      </c>
      <c r="W29" s="91">
        <v>33372</v>
      </c>
      <c r="X29" s="47">
        <v>0</v>
      </c>
      <c r="Y29" s="9" t="s">
        <v>173</v>
      </c>
      <c r="Z29" s="9"/>
    </row>
    <row r="30" spans="1:26" ht="39.950000000000003" customHeight="1" x14ac:dyDescent="0.2">
      <c r="B30" s="44" t="s">
        <v>305</v>
      </c>
      <c r="C30" s="45" t="s">
        <v>40</v>
      </c>
      <c r="D30" s="11" t="s">
        <v>14</v>
      </c>
      <c r="E30" s="11" t="s">
        <v>27</v>
      </c>
      <c r="F30" s="9" t="s">
        <v>78</v>
      </c>
      <c r="G30" s="9" t="s">
        <v>76</v>
      </c>
      <c r="H30" s="9" t="s">
        <v>258</v>
      </c>
      <c r="I30" s="9" t="s">
        <v>8</v>
      </c>
      <c r="J30" s="9" t="s">
        <v>255</v>
      </c>
      <c r="K30" s="9" t="s">
        <v>244</v>
      </c>
      <c r="L30" s="11" t="s">
        <v>261</v>
      </c>
      <c r="M30" s="46" t="s">
        <v>229</v>
      </c>
      <c r="N30" s="11" t="s">
        <v>60</v>
      </c>
      <c r="O30" s="11" t="s">
        <v>61</v>
      </c>
      <c r="P30" s="11" t="s">
        <v>98</v>
      </c>
      <c r="Q30" s="9" t="s">
        <v>41</v>
      </c>
      <c r="R30" s="12">
        <v>2</v>
      </c>
      <c r="S30" s="43">
        <v>44657</v>
      </c>
      <c r="T30" s="43">
        <v>46118</v>
      </c>
      <c r="U30" s="43">
        <v>46082</v>
      </c>
      <c r="V30" s="43">
        <v>46117</v>
      </c>
      <c r="W30" s="91">
        <v>56013</v>
      </c>
      <c r="X30" s="47">
        <v>15284.22</v>
      </c>
      <c r="Y30" s="9" t="s">
        <v>173</v>
      </c>
      <c r="Z30" s="9"/>
    </row>
    <row r="31" spans="1:26" ht="39.950000000000003" customHeight="1" x14ac:dyDescent="0.2">
      <c r="B31" s="44" t="s">
        <v>306</v>
      </c>
      <c r="C31" s="45" t="s">
        <v>40</v>
      </c>
      <c r="D31" s="11" t="s">
        <v>14</v>
      </c>
      <c r="E31" s="11" t="s">
        <v>27</v>
      </c>
      <c r="F31" s="9" t="s">
        <v>78</v>
      </c>
      <c r="G31" s="9" t="s">
        <v>76</v>
      </c>
      <c r="H31" s="9" t="s">
        <v>258</v>
      </c>
      <c r="I31" s="9" t="s">
        <v>8</v>
      </c>
      <c r="J31" s="9" t="s">
        <v>255</v>
      </c>
      <c r="K31" s="9" t="s">
        <v>243</v>
      </c>
      <c r="L31" s="11" t="s">
        <v>261</v>
      </c>
      <c r="M31" s="46" t="s">
        <v>229</v>
      </c>
      <c r="N31" s="11" t="s">
        <v>60</v>
      </c>
      <c r="O31" s="11" t="s">
        <v>67</v>
      </c>
      <c r="P31" s="11" t="s">
        <v>99</v>
      </c>
      <c r="Q31" s="9" t="s">
        <v>50</v>
      </c>
      <c r="R31" s="12">
        <v>10</v>
      </c>
      <c r="S31" s="43">
        <v>45809</v>
      </c>
      <c r="T31" s="43">
        <v>46174</v>
      </c>
      <c r="U31" s="43">
        <v>46023</v>
      </c>
      <c r="V31" s="43">
        <v>46173</v>
      </c>
      <c r="W31" s="91">
        <v>1681996</v>
      </c>
      <c r="X31" s="47">
        <v>840998.05500000005</v>
      </c>
      <c r="Y31" s="9" t="s">
        <v>72</v>
      </c>
      <c r="Z31" s="9"/>
    </row>
    <row r="32" spans="1:26" ht="39.950000000000003" customHeight="1" x14ac:dyDescent="0.2">
      <c r="B32" s="44" t="s">
        <v>307</v>
      </c>
      <c r="C32" s="45" t="s">
        <v>40</v>
      </c>
      <c r="D32" s="11" t="s">
        <v>14</v>
      </c>
      <c r="E32" s="11" t="s">
        <v>27</v>
      </c>
      <c r="F32" s="9" t="s">
        <v>78</v>
      </c>
      <c r="G32" s="9" t="s">
        <v>76</v>
      </c>
      <c r="H32" s="9" t="s">
        <v>258</v>
      </c>
      <c r="I32" s="9" t="s">
        <v>8</v>
      </c>
      <c r="J32" s="9" t="s">
        <v>255</v>
      </c>
      <c r="K32" s="9" t="s">
        <v>242</v>
      </c>
      <c r="L32" s="11" t="s">
        <v>261</v>
      </c>
      <c r="M32" s="46" t="s">
        <v>229</v>
      </c>
      <c r="N32" s="11" t="s">
        <v>60</v>
      </c>
      <c r="O32" s="11" t="s">
        <v>68</v>
      </c>
      <c r="P32" s="11" t="s">
        <v>100</v>
      </c>
      <c r="Q32" s="9" t="s">
        <v>44</v>
      </c>
      <c r="R32" s="12">
        <v>300</v>
      </c>
      <c r="S32" s="43">
        <v>45381</v>
      </c>
      <c r="T32" s="43">
        <v>46111</v>
      </c>
      <c r="U32" s="43">
        <v>46111</v>
      </c>
      <c r="V32" s="43">
        <v>46110</v>
      </c>
      <c r="W32" s="91">
        <v>4853</v>
      </c>
      <c r="X32" s="47">
        <v>3835.6199999999994</v>
      </c>
      <c r="Y32" s="9" t="s">
        <v>174</v>
      </c>
      <c r="Z32" s="9"/>
    </row>
    <row r="33" spans="2:26" ht="39.950000000000003" customHeight="1" x14ac:dyDescent="0.2">
      <c r="B33" s="72" t="s">
        <v>308</v>
      </c>
      <c r="C33" s="45" t="s">
        <v>40</v>
      </c>
      <c r="D33" s="11" t="s">
        <v>14</v>
      </c>
      <c r="E33" s="11" t="s">
        <v>27</v>
      </c>
      <c r="F33" s="11" t="s">
        <v>78</v>
      </c>
      <c r="G33" s="11" t="s">
        <v>76</v>
      </c>
      <c r="H33" s="11" t="s">
        <v>258</v>
      </c>
      <c r="I33" s="11" t="s">
        <v>8</v>
      </c>
      <c r="J33" s="11" t="s">
        <v>255</v>
      </c>
      <c r="K33" s="11" t="s">
        <v>242</v>
      </c>
      <c r="L33" s="11" t="s">
        <v>261</v>
      </c>
      <c r="M33" s="46" t="s">
        <v>229</v>
      </c>
      <c r="N33" s="11" t="s">
        <v>60</v>
      </c>
      <c r="O33" s="11" t="s">
        <v>68</v>
      </c>
      <c r="P33" s="11" t="s">
        <v>101</v>
      </c>
      <c r="Q33" s="11" t="s">
        <v>53</v>
      </c>
      <c r="R33" s="10">
        <f>W33</f>
        <v>2989</v>
      </c>
      <c r="S33" s="42">
        <v>45268</v>
      </c>
      <c r="T33" s="42" t="s">
        <v>285</v>
      </c>
      <c r="U33" s="42">
        <v>45999</v>
      </c>
      <c r="V33" s="42">
        <v>45998</v>
      </c>
      <c r="W33" s="91">
        <f>16255-12245-1021</f>
        <v>2989</v>
      </c>
      <c r="X33" s="47">
        <v>0</v>
      </c>
      <c r="Y33" s="9" t="s">
        <v>174</v>
      </c>
      <c r="Z33" s="11" t="s">
        <v>682</v>
      </c>
    </row>
    <row r="34" spans="2:26" ht="39.950000000000003" customHeight="1" x14ac:dyDescent="0.2">
      <c r="B34" s="48" t="s">
        <v>309</v>
      </c>
      <c r="C34" s="49" t="s">
        <v>40</v>
      </c>
      <c r="D34" s="50" t="s">
        <v>14</v>
      </c>
      <c r="E34" s="50" t="s">
        <v>27</v>
      </c>
      <c r="F34" s="51" t="s">
        <v>78</v>
      </c>
      <c r="G34" s="51" t="s">
        <v>76</v>
      </c>
      <c r="H34" s="51" t="s">
        <v>258</v>
      </c>
      <c r="I34" s="51" t="s">
        <v>8</v>
      </c>
      <c r="J34" s="51" t="s">
        <v>255</v>
      </c>
      <c r="K34" s="51" t="s">
        <v>244</v>
      </c>
      <c r="L34" s="50" t="s">
        <v>261</v>
      </c>
      <c r="M34" s="52" t="s">
        <v>229</v>
      </c>
      <c r="N34" s="50" t="s">
        <v>35</v>
      </c>
      <c r="O34" s="50" t="s">
        <v>66</v>
      </c>
      <c r="P34" s="50" t="s">
        <v>102</v>
      </c>
      <c r="Q34" s="51" t="s">
        <v>41</v>
      </c>
      <c r="R34" s="53">
        <v>2</v>
      </c>
      <c r="S34" s="54">
        <v>46023</v>
      </c>
      <c r="T34" s="54" t="s">
        <v>285</v>
      </c>
      <c r="U34" s="54" t="s">
        <v>285</v>
      </c>
      <c r="V34" s="54">
        <v>46387</v>
      </c>
      <c r="W34" s="92">
        <f>50390-50390</f>
        <v>0</v>
      </c>
      <c r="X34" s="55">
        <v>50390.400000000001</v>
      </c>
      <c r="Y34" s="51" t="s">
        <v>72</v>
      </c>
      <c r="Z34" s="11" t="s">
        <v>442</v>
      </c>
    </row>
    <row r="35" spans="2:26" ht="39.950000000000003" customHeight="1" x14ac:dyDescent="0.2">
      <c r="B35" s="48" t="s">
        <v>310</v>
      </c>
      <c r="C35" s="49" t="s">
        <v>40</v>
      </c>
      <c r="D35" s="50" t="s">
        <v>14</v>
      </c>
      <c r="E35" s="50" t="s">
        <v>27</v>
      </c>
      <c r="F35" s="51" t="s">
        <v>78</v>
      </c>
      <c r="G35" s="51" t="s">
        <v>76</v>
      </c>
      <c r="H35" s="51" t="s">
        <v>258</v>
      </c>
      <c r="I35" s="51" t="s">
        <v>8</v>
      </c>
      <c r="J35" s="51" t="s">
        <v>255</v>
      </c>
      <c r="K35" s="51" t="s">
        <v>243</v>
      </c>
      <c r="L35" s="50" t="s">
        <v>261</v>
      </c>
      <c r="M35" s="52" t="s">
        <v>229</v>
      </c>
      <c r="N35" s="50" t="s">
        <v>35</v>
      </c>
      <c r="O35" s="50" t="s">
        <v>66</v>
      </c>
      <c r="P35" s="50" t="s">
        <v>103</v>
      </c>
      <c r="Q35" s="51" t="s">
        <v>50</v>
      </c>
      <c r="R35" s="53">
        <v>2</v>
      </c>
      <c r="S35" s="54">
        <v>46023</v>
      </c>
      <c r="T35" s="54" t="s">
        <v>285</v>
      </c>
      <c r="U35" s="54" t="s">
        <v>285</v>
      </c>
      <c r="V35" s="54">
        <v>46387</v>
      </c>
      <c r="W35" s="92">
        <f>133368-133368</f>
        <v>0</v>
      </c>
      <c r="X35" s="55">
        <v>133368</v>
      </c>
      <c r="Y35" s="51" t="s">
        <v>72</v>
      </c>
      <c r="Z35" s="57" t="s">
        <v>455</v>
      </c>
    </row>
    <row r="36" spans="2:26" ht="39.950000000000003" customHeight="1" x14ac:dyDescent="0.2">
      <c r="B36" s="44" t="s">
        <v>311</v>
      </c>
      <c r="C36" s="45" t="s">
        <v>40</v>
      </c>
      <c r="D36" s="11" t="s">
        <v>14</v>
      </c>
      <c r="E36" s="11" t="s">
        <v>27</v>
      </c>
      <c r="F36" s="9" t="s">
        <v>78</v>
      </c>
      <c r="G36" s="9" t="s">
        <v>76</v>
      </c>
      <c r="H36" s="9" t="s">
        <v>258</v>
      </c>
      <c r="I36" s="9" t="s">
        <v>8</v>
      </c>
      <c r="J36" s="9" t="s">
        <v>255</v>
      </c>
      <c r="K36" s="9" t="s">
        <v>242</v>
      </c>
      <c r="L36" s="11" t="s">
        <v>261</v>
      </c>
      <c r="M36" s="46" t="s">
        <v>229</v>
      </c>
      <c r="N36" s="11" t="s">
        <v>60</v>
      </c>
      <c r="O36" s="11" t="s">
        <v>70</v>
      </c>
      <c r="P36" s="11" t="s">
        <v>433</v>
      </c>
      <c r="Q36" s="9" t="s">
        <v>53</v>
      </c>
      <c r="R36" s="10">
        <f>W36</f>
        <v>17028</v>
      </c>
      <c r="S36" s="43">
        <v>46387</v>
      </c>
      <c r="T36" s="43" t="s">
        <v>285</v>
      </c>
      <c r="U36" s="43" t="s">
        <v>285</v>
      </c>
      <c r="V36" s="43" t="s">
        <v>285</v>
      </c>
      <c r="W36" s="91">
        <v>17028</v>
      </c>
      <c r="X36" s="47">
        <v>0</v>
      </c>
      <c r="Y36" s="9" t="s">
        <v>175</v>
      </c>
      <c r="Z36" s="9"/>
    </row>
    <row r="37" spans="2:26" ht="39.950000000000003" customHeight="1" x14ac:dyDescent="0.2">
      <c r="B37" s="44" t="s">
        <v>312</v>
      </c>
      <c r="C37" s="45" t="s">
        <v>40</v>
      </c>
      <c r="D37" s="11" t="s">
        <v>14</v>
      </c>
      <c r="E37" s="11" t="s">
        <v>27</v>
      </c>
      <c r="F37" s="9" t="s">
        <v>78</v>
      </c>
      <c r="G37" s="9" t="s">
        <v>76</v>
      </c>
      <c r="H37" s="9" t="s">
        <v>258</v>
      </c>
      <c r="I37" s="9" t="s">
        <v>8</v>
      </c>
      <c r="J37" s="9" t="s">
        <v>255</v>
      </c>
      <c r="K37" s="9" t="s">
        <v>245</v>
      </c>
      <c r="L37" s="11" t="s">
        <v>261</v>
      </c>
      <c r="M37" s="46" t="s">
        <v>229</v>
      </c>
      <c r="N37" s="11" t="s">
        <v>59</v>
      </c>
      <c r="O37" s="11" t="s">
        <v>66</v>
      </c>
      <c r="P37" s="9" t="s">
        <v>104</v>
      </c>
      <c r="Q37" s="9" t="s">
        <v>46</v>
      </c>
      <c r="R37" s="10">
        <v>5952</v>
      </c>
      <c r="S37" s="43">
        <v>45363</v>
      </c>
      <c r="T37" s="43">
        <v>46458</v>
      </c>
      <c r="U37" s="43">
        <v>45728</v>
      </c>
      <c r="V37" s="43">
        <v>46092</v>
      </c>
      <c r="W37" s="91">
        <v>46586</v>
      </c>
      <c r="X37" s="47">
        <v>47669.760000000002</v>
      </c>
      <c r="Y37" s="9" t="s">
        <v>175</v>
      </c>
      <c r="Z37" s="9"/>
    </row>
    <row r="38" spans="2:26" ht="39.950000000000003" customHeight="1" x14ac:dyDescent="0.2">
      <c r="B38" s="44" t="s">
        <v>313</v>
      </c>
      <c r="C38" s="45" t="s">
        <v>40</v>
      </c>
      <c r="D38" s="11" t="s">
        <v>14</v>
      </c>
      <c r="E38" s="11" t="s">
        <v>27</v>
      </c>
      <c r="F38" s="9" t="s">
        <v>78</v>
      </c>
      <c r="G38" s="9" t="s">
        <v>76</v>
      </c>
      <c r="H38" s="9" t="s">
        <v>258</v>
      </c>
      <c r="I38" s="9" t="s">
        <v>8</v>
      </c>
      <c r="J38" s="9" t="s">
        <v>255</v>
      </c>
      <c r="K38" s="9" t="s">
        <v>245</v>
      </c>
      <c r="L38" s="11" t="s">
        <v>261</v>
      </c>
      <c r="M38" s="46" t="s">
        <v>229</v>
      </c>
      <c r="N38" s="11" t="s">
        <v>59</v>
      </c>
      <c r="O38" s="11" t="s">
        <v>66</v>
      </c>
      <c r="P38" s="9" t="s">
        <v>105</v>
      </c>
      <c r="Q38" s="9" t="s">
        <v>46</v>
      </c>
      <c r="R38" s="56">
        <v>1587</v>
      </c>
      <c r="S38" s="43">
        <v>45363</v>
      </c>
      <c r="T38" s="43">
        <v>46458</v>
      </c>
      <c r="U38" s="43">
        <v>45728</v>
      </c>
      <c r="V38" s="43">
        <v>46092</v>
      </c>
      <c r="W38" s="91">
        <v>24590</v>
      </c>
      <c r="X38" s="47">
        <v>25161.84</v>
      </c>
      <c r="Y38" s="9" t="s">
        <v>175</v>
      </c>
      <c r="Z38" s="9"/>
    </row>
    <row r="39" spans="2:26" ht="39.950000000000003" customHeight="1" x14ac:dyDescent="0.2">
      <c r="B39" s="44" t="s">
        <v>314</v>
      </c>
      <c r="C39" s="45" t="s">
        <v>40</v>
      </c>
      <c r="D39" s="11" t="s">
        <v>14</v>
      </c>
      <c r="E39" s="11" t="s">
        <v>27</v>
      </c>
      <c r="F39" s="9" t="s">
        <v>78</v>
      </c>
      <c r="G39" s="11" t="s">
        <v>76</v>
      </c>
      <c r="H39" s="9" t="s">
        <v>258</v>
      </c>
      <c r="I39" s="9" t="s">
        <v>8</v>
      </c>
      <c r="J39" s="9" t="s">
        <v>255</v>
      </c>
      <c r="K39" s="9" t="s">
        <v>242</v>
      </c>
      <c r="L39" s="11" t="s">
        <v>261</v>
      </c>
      <c r="M39" s="46" t="s">
        <v>229</v>
      </c>
      <c r="N39" s="11" t="s">
        <v>60</v>
      </c>
      <c r="O39" s="11" t="s">
        <v>66</v>
      </c>
      <c r="P39" s="9" t="s">
        <v>106</v>
      </c>
      <c r="Q39" s="9" t="s">
        <v>51</v>
      </c>
      <c r="R39" s="12">
        <v>1</v>
      </c>
      <c r="S39" s="43">
        <v>45419</v>
      </c>
      <c r="T39" s="43">
        <v>46513</v>
      </c>
      <c r="U39" s="43">
        <v>46149</v>
      </c>
      <c r="V39" s="43">
        <v>46148</v>
      </c>
      <c r="W39" s="91">
        <v>17678</v>
      </c>
      <c r="X39" s="47">
        <v>8043.3444000000009</v>
      </c>
      <c r="Y39" s="9" t="s">
        <v>175</v>
      </c>
      <c r="Z39" s="9"/>
    </row>
    <row r="40" spans="2:26" ht="39.950000000000003" customHeight="1" x14ac:dyDescent="0.2">
      <c r="B40" s="44" t="s">
        <v>315</v>
      </c>
      <c r="C40" s="45" t="s">
        <v>40</v>
      </c>
      <c r="D40" s="11" t="s">
        <v>14</v>
      </c>
      <c r="E40" s="11" t="s">
        <v>27</v>
      </c>
      <c r="F40" s="9" t="s">
        <v>78</v>
      </c>
      <c r="G40" s="11" t="s">
        <v>76</v>
      </c>
      <c r="H40" s="9" t="s">
        <v>258</v>
      </c>
      <c r="I40" s="9" t="s">
        <v>8</v>
      </c>
      <c r="J40" s="9" t="s">
        <v>255</v>
      </c>
      <c r="K40" s="9" t="s">
        <v>242</v>
      </c>
      <c r="L40" s="11" t="s">
        <v>261</v>
      </c>
      <c r="M40" s="46" t="s">
        <v>229</v>
      </c>
      <c r="N40" s="11" t="s">
        <v>60</v>
      </c>
      <c r="O40" s="11" t="s">
        <v>66</v>
      </c>
      <c r="P40" s="9" t="s">
        <v>107</v>
      </c>
      <c r="Q40" s="9" t="s">
        <v>51</v>
      </c>
      <c r="R40" s="12">
        <v>1</v>
      </c>
      <c r="S40" s="43">
        <v>45125</v>
      </c>
      <c r="T40" s="43">
        <v>46462</v>
      </c>
      <c r="U40" s="43">
        <v>46040</v>
      </c>
      <c r="V40" s="43">
        <v>46039</v>
      </c>
      <c r="W40" s="91">
        <v>6424</v>
      </c>
      <c r="X40" s="47">
        <v>1605.9</v>
      </c>
      <c r="Y40" s="9" t="s">
        <v>175</v>
      </c>
      <c r="Z40" s="9"/>
    </row>
    <row r="41" spans="2:26" ht="39.950000000000003" customHeight="1" x14ac:dyDescent="0.2">
      <c r="B41" s="44" t="s">
        <v>316</v>
      </c>
      <c r="C41" s="45" t="s">
        <v>40</v>
      </c>
      <c r="D41" s="11" t="s">
        <v>14</v>
      </c>
      <c r="E41" s="11" t="s">
        <v>27</v>
      </c>
      <c r="F41" s="9" t="s">
        <v>78</v>
      </c>
      <c r="G41" s="11" t="s">
        <v>76</v>
      </c>
      <c r="H41" s="9" t="s">
        <v>258</v>
      </c>
      <c r="I41" s="9" t="s">
        <v>8</v>
      </c>
      <c r="J41" s="9" t="s">
        <v>255</v>
      </c>
      <c r="K41" s="9" t="s">
        <v>246</v>
      </c>
      <c r="L41" s="11" t="s">
        <v>261</v>
      </c>
      <c r="M41" s="46" t="s">
        <v>229</v>
      </c>
      <c r="N41" s="11" t="s">
        <v>60</v>
      </c>
      <c r="O41" s="11" t="s">
        <v>66</v>
      </c>
      <c r="P41" s="9" t="s">
        <v>108</v>
      </c>
      <c r="Q41" s="9" t="s">
        <v>51</v>
      </c>
      <c r="R41" s="12">
        <v>1</v>
      </c>
      <c r="S41" s="43">
        <v>45125</v>
      </c>
      <c r="T41" s="43">
        <v>46462</v>
      </c>
      <c r="U41" s="43">
        <v>46040</v>
      </c>
      <c r="V41" s="43">
        <v>46039</v>
      </c>
      <c r="W41" s="91">
        <v>69719</v>
      </c>
      <c r="X41" s="47">
        <v>17429.7</v>
      </c>
      <c r="Y41" s="9" t="s">
        <v>175</v>
      </c>
      <c r="Z41" s="9"/>
    </row>
    <row r="42" spans="2:26" ht="39.950000000000003" customHeight="1" x14ac:dyDescent="0.2">
      <c r="B42" s="44" t="s">
        <v>317</v>
      </c>
      <c r="C42" s="45" t="s">
        <v>40</v>
      </c>
      <c r="D42" s="11" t="s">
        <v>14</v>
      </c>
      <c r="E42" s="11" t="s">
        <v>27</v>
      </c>
      <c r="F42" s="9" t="s">
        <v>78</v>
      </c>
      <c r="G42" s="11" t="s">
        <v>76</v>
      </c>
      <c r="H42" s="9" t="s">
        <v>258</v>
      </c>
      <c r="I42" s="9" t="s">
        <v>8</v>
      </c>
      <c r="J42" s="9" t="s">
        <v>255</v>
      </c>
      <c r="K42" s="9" t="s">
        <v>242</v>
      </c>
      <c r="L42" s="11" t="s">
        <v>261</v>
      </c>
      <c r="M42" s="46" t="s">
        <v>229</v>
      </c>
      <c r="N42" s="11" t="s">
        <v>60</v>
      </c>
      <c r="O42" s="11" t="s">
        <v>68</v>
      </c>
      <c r="P42" s="9" t="s">
        <v>109</v>
      </c>
      <c r="Q42" s="9" t="s">
        <v>53</v>
      </c>
      <c r="R42" s="10">
        <f>W42</f>
        <v>2396</v>
      </c>
      <c r="S42" s="43">
        <v>45461</v>
      </c>
      <c r="T42" s="43">
        <v>46191</v>
      </c>
      <c r="U42" s="43" t="s">
        <v>285</v>
      </c>
      <c r="V42" s="43">
        <v>46190</v>
      </c>
      <c r="W42" s="91">
        <f>2396</f>
        <v>2396</v>
      </c>
      <c r="X42" s="47">
        <f>1111.41+6069.15</f>
        <v>7180.5599999999995</v>
      </c>
      <c r="Y42" s="9" t="s">
        <v>176</v>
      </c>
      <c r="Z42" s="9"/>
    </row>
    <row r="43" spans="2:26" ht="39.950000000000003" customHeight="1" x14ac:dyDescent="0.2">
      <c r="B43" s="44" t="s">
        <v>318</v>
      </c>
      <c r="C43" s="45" t="s">
        <v>40</v>
      </c>
      <c r="D43" s="11" t="s">
        <v>14</v>
      </c>
      <c r="E43" s="11" t="s">
        <v>27</v>
      </c>
      <c r="F43" s="9" t="s">
        <v>78</v>
      </c>
      <c r="G43" s="11" t="s">
        <v>76</v>
      </c>
      <c r="H43" s="9" t="s">
        <v>258</v>
      </c>
      <c r="I43" s="9" t="s">
        <v>8</v>
      </c>
      <c r="J43" s="9" t="s">
        <v>255</v>
      </c>
      <c r="K43" s="9" t="s">
        <v>245</v>
      </c>
      <c r="L43" s="11" t="s">
        <v>261</v>
      </c>
      <c r="M43" s="46" t="s">
        <v>229</v>
      </c>
      <c r="N43" s="11" t="s">
        <v>60</v>
      </c>
      <c r="O43" s="11" t="s">
        <v>68</v>
      </c>
      <c r="P43" s="9" t="s">
        <v>110</v>
      </c>
      <c r="Q43" s="9" t="s">
        <v>53</v>
      </c>
      <c r="R43" s="10">
        <f>W43</f>
        <v>6989</v>
      </c>
      <c r="S43" s="43">
        <v>45461</v>
      </c>
      <c r="T43" s="43">
        <v>46191</v>
      </c>
      <c r="U43" s="43" t="s">
        <v>285</v>
      </c>
      <c r="V43" s="43">
        <v>46190</v>
      </c>
      <c r="W43" s="91">
        <f>6989</f>
        <v>6989</v>
      </c>
      <c r="X43" s="47">
        <f>3170.29</f>
        <v>3170.29</v>
      </c>
      <c r="Y43" s="9" t="s">
        <v>176</v>
      </c>
      <c r="Z43" s="9" t="s">
        <v>809</v>
      </c>
    </row>
    <row r="44" spans="2:26" ht="39.950000000000003" customHeight="1" x14ac:dyDescent="0.2">
      <c r="B44" s="44" t="s">
        <v>319</v>
      </c>
      <c r="C44" s="45" t="s">
        <v>40</v>
      </c>
      <c r="D44" s="11" t="s">
        <v>14</v>
      </c>
      <c r="E44" s="11" t="s">
        <v>27</v>
      </c>
      <c r="F44" s="9" t="s">
        <v>78</v>
      </c>
      <c r="G44" s="11" t="s">
        <v>76</v>
      </c>
      <c r="H44" s="9" t="s">
        <v>258</v>
      </c>
      <c r="I44" s="9" t="s">
        <v>8</v>
      </c>
      <c r="J44" s="9" t="s">
        <v>255</v>
      </c>
      <c r="K44" s="9" t="s">
        <v>242</v>
      </c>
      <c r="L44" s="11" t="s">
        <v>261</v>
      </c>
      <c r="M44" s="46" t="s">
        <v>229</v>
      </c>
      <c r="N44" s="11" t="s">
        <v>60</v>
      </c>
      <c r="O44" s="11" t="s">
        <v>68</v>
      </c>
      <c r="P44" s="9" t="s">
        <v>96</v>
      </c>
      <c r="Q44" s="9" t="s">
        <v>47</v>
      </c>
      <c r="R44" s="12">
        <v>12</v>
      </c>
      <c r="S44" s="43">
        <v>45409</v>
      </c>
      <c r="T44" s="43">
        <v>45773</v>
      </c>
      <c r="U44" s="43">
        <v>46113</v>
      </c>
      <c r="V44" s="43">
        <v>46138</v>
      </c>
      <c r="W44" s="91">
        <v>58295</v>
      </c>
      <c r="X44" s="47">
        <v>21692.832000000002</v>
      </c>
      <c r="Y44" s="9" t="s">
        <v>176</v>
      </c>
      <c r="Z44" s="9" t="s">
        <v>825</v>
      </c>
    </row>
    <row r="45" spans="2:26" ht="39.950000000000003" customHeight="1" x14ac:dyDescent="0.2">
      <c r="B45" s="44" t="s">
        <v>320</v>
      </c>
      <c r="C45" s="45" t="s">
        <v>40</v>
      </c>
      <c r="D45" s="11" t="s">
        <v>14</v>
      </c>
      <c r="E45" s="11" t="s">
        <v>27</v>
      </c>
      <c r="F45" s="9" t="s">
        <v>78</v>
      </c>
      <c r="G45" s="11" t="s">
        <v>76</v>
      </c>
      <c r="H45" s="9" t="s">
        <v>258</v>
      </c>
      <c r="I45" s="9" t="s">
        <v>8</v>
      </c>
      <c r="J45" s="9" t="s">
        <v>255</v>
      </c>
      <c r="K45" s="9" t="s">
        <v>242</v>
      </c>
      <c r="L45" s="11" t="s">
        <v>261</v>
      </c>
      <c r="M45" s="46" t="s">
        <v>229</v>
      </c>
      <c r="N45" s="11" t="s">
        <v>58</v>
      </c>
      <c r="O45" s="11" t="s">
        <v>68</v>
      </c>
      <c r="P45" s="9" t="s">
        <v>111</v>
      </c>
      <c r="Q45" s="9" t="s">
        <v>41</v>
      </c>
      <c r="R45" s="12">
        <v>1</v>
      </c>
      <c r="S45" s="43">
        <v>46235</v>
      </c>
      <c r="T45" s="43" t="s">
        <v>285</v>
      </c>
      <c r="U45" s="43" t="s">
        <v>285</v>
      </c>
      <c r="V45" s="43" t="s">
        <v>285</v>
      </c>
      <c r="W45" s="91">
        <f>350</f>
        <v>350</v>
      </c>
      <c r="X45" s="47">
        <v>0</v>
      </c>
      <c r="Y45" s="9" t="s">
        <v>177</v>
      </c>
      <c r="Z45" s="9" t="s">
        <v>807</v>
      </c>
    </row>
    <row r="46" spans="2:26" ht="39.950000000000003" customHeight="1" x14ac:dyDescent="0.2">
      <c r="B46" s="44" t="s">
        <v>321</v>
      </c>
      <c r="C46" s="45" t="s">
        <v>40</v>
      </c>
      <c r="D46" s="11" t="s">
        <v>14</v>
      </c>
      <c r="E46" s="11" t="s">
        <v>27</v>
      </c>
      <c r="F46" s="9" t="s">
        <v>78</v>
      </c>
      <c r="G46" s="9" t="s">
        <v>76</v>
      </c>
      <c r="H46" s="9" t="s">
        <v>258</v>
      </c>
      <c r="I46" s="9" t="s">
        <v>8</v>
      </c>
      <c r="J46" s="9" t="s">
        <v>255</v>
      </c>
      <c r="K46" s="9" t="s">
        <v>242</v>
      </c>
      <c r="L46" s="11" t="s">
        <v>261</v>
      </c>
      <c r="M46" s="46" t="s">
        <v>229</v>
      </c>
      <c r="N46" s="11" t="s">
        <v>60</v>
      </c>
      <c r="O46" s="11" t="s">
        <v>68</v>
      </c>
      <c r="P46" s="9" t="s">
        <v>112</v>
      </c>
      <c r="Q46" s="9" t="s">
        <v>41</v>
      </c>
      <c r="R46" s="12">
        <v>1</v>
      </c>
      <c r="S46" s="43">
        <v>46258</v>
      </c>
      <c r="T46" s="43" t="s">
        <v>285</v>
      </c>
      <c r="U46" s="43" t="s">
        <v>285</v>
      </c>
      <c r="V46" s="43" t="s">
        <v>285</v>
      </c>
      <c r="W46" s="91">
        <f>250</f>
        <v>250</v>
      </c>
      <c r="X46" s="47">
        <v>0</v>
      </c>
      <c r="Y46" s="9" t="s">
        <v>177</v>
      </c>
      <c r="Z46" s="9" t="s">
        <v>808</v>
      </c>
    </row>
    <row r="47" spans="2:26" ht="39.950000000000003" customHeight="1" x14ac:dyDescent="0.2">
      <c r="B47" s="44" t="s">
        <v>322</v>
      </c>
      <c r="C47" s="45" t="s">
        <v>40</v>
      </c>
      <c r="D47" s="11" t="s">
        <v>14</v>
      </c>
      <c r="E47" s="11" t="s">
        <v>27</v>
      </c>
      <c r="F47" s="9" t="s">
        <v>78</v>
      </c>
      <c r="G47" s="9" t="s">
        <v>76</v>
      </c>
      <c r="H47" s="9" t="s">
        <v>258</v>
      </c>
      <c r="I47" s="9" t="s">
        <v>8</v>
      </c>
      <c r="J47" s="9" t="s">
        <v>255</v>
      </c>
      <c r="K47" s="9" t="s">
        <v>247</v>
      </c>
      <c r="L47" s="11" t="s">
        <v>261</v>
      </c>
      <c r="M47" s="46" t="s">
        <v>229</v>
      </c>
      <c r="N47" s="11" t="s">
        <v>60</v>
      </c>
      <c r="O47" s="11" t="s">
        <v>70</v>
      </c>
      <c r="P47" s="9" t="s">
        <v>113</v>
      </c>
      <c r="Q47" s="9" t="s">
        <v>53</v>
      </c>
      <c r="R47" s="10">
        <f>W47</f>
        <v>9000</v>
      </c>
      <c r="S47" s="43" t="s">
        <v>170</v>
      </c>
      <c r="T47" s="43" t="s">
        <v>285</v>
      </c>
      <c r="U47" s="43" t="s">
        <v>285</v>
      </c>
      <c r="V47" s="43">
        <v>46081</v>
      </c>
      <c r="W47" s="91">
        <f>10000-1000</f>
        <v>9000</v>
      </c>
      <c r="X47" s="47">
        <v>0</v>
      </c>
      <c r="Y47" s="9" t="s">
        <v>172</v>
      </c>
      <c r="Z47" s="57" t="s">
        <v>456</v>
      </c>
    </row>
    <row r="48" spans="2:26" ht="48" x14ac:dyDescent="0.2">
      <c r="B48" s="44" t="s">
        <v>323</v>
      </c>
      <c r="C48" s="45" t="s">
        <v>40</v>
      </c>
      <c r="D48" s="11" t="s">
        <v>14</v>
      </c>
      <c r="E48" s="11" t="s">
        <v>27</v>
      </c>
      <c r="F48" s="9" t="s">
        <v>78</v>
      </c>
      <c r="G48" s="11" t="s">
        <v>76</v>
      </c>
      <c r="H48" s="9" t="s">
        <v>258</v>
      </c>
      <c r="I48" s="9" t="s">
        <v>8</v>
      </c>
      <c r="J48" s="9" t="s">
        <v>255</v>
      </c>
      <c r="K48" s="9" t="s">
        <v>243</v>
      </c>
      <c r="L48" s="11" t="s">
        <v>261</v>
      </c>
      <c r="M48" s="46" t="s">
        <v>229</v>
      </c>
      <c r="N48" s="11" t="s">
        <v>60</v>
      </c>
      <c r="O48" s="11" t="s">
        <v>66</v>
      </c>
      <c r="P48" s="9" t="s">
        <v>114</v>
      </c>
      <c r="Q48" s="9" t="s">
        <v>50</v>
      </c>
      <c r="R48" s="12">
        <v>23</v>
      </c>
      <c r="S48" s="43">
        <v>45865</v>
      </c>
      <c r="T48" s="43" t="s">
        <v>285</v>
      </c>
      <c r="U48" s="43" t="s">
        <v>285</v>
      </c>
      <c r="V48" s="43">
        <v>46229</v>
      </c>
      <c r="W48" s="91">
        <v>1580755</v>
      </c>
      <c r="X48" s="47">
        <v>790377.48</v>
      </c>
      <c r="Y48" s="9" t="s">
        <v>476</v>
      </c>
      <c r="Z48" s="9"/>
    </row>
    <row r="49" spans="2:26" ht="39.950000000000003" customHeight="1" x14ac:dyDescent="0.2">
      <c r="B49" s="44" t="s">
        <v>324</v>
      </c>
      <c r="C49" s="45" t="s">
        <v>40</v>
      </c>
      <c r="D49" s="11" t="s">
        <v>14</v>
      </c>
      <c r="E49" s="11" t="s">
        <v>27</v>
      </c>
      <c r="F49" s="9" t="s">
        <v>78</v>
      </c>
      <c r="G49" s="11" t="s">
        <v>76</v>
      </c>
      <c r="H49" s="9" t="s">
        <v>258</v>
      </c>
      <c r="I49" s="9" t="s">
        <v>8</v>
      </c>
      <c r="J49" s="9" t="s">
        <v>255</v>
      </c>
      <c r="K49" s="9" t="s">
        <v>245</v>
      </c>
      <c r="L49" s="11" t="s">
        <v>261</v>
      </c>
      <c r="M49" s="46" t="s">
        <v>229</v>
      </c>
      <c r="N49" s="11" t="s">
        <v>34</v>
      </c>
      <c r="O49" s="11" t="s">
        <v>61</v>
      </c>
      <c r="P49" s="9" t="s">
        <v>115</v>
      </c>
      <c r="Q49" s="9" t="s">
        <v>53</v>
      </c>
      <c r="R49" s="10">
        <f t="shared" ref="R49:R55" si="0">W49</f>
        <v>30000</v>
      </c>
      <c r="S49" s="43">
        <v>46082</v>
      </c>
      <c r="T49" s="43" t="s">
        <v>285</v>
      </c>
      <c r="U49" s="43" t="s">
        <v>285</v>
      </c>
      <c r="V49" s="43" t="s">
        <v>285</v>
      </c>
      <c r="W49" s="91">
        <f>40000-10000</f>
        <v>30000</v>
      </c>
      <c r="X49" s="47">
        <v>0</v>
      </c>
      <c r="Y49" s="9" t="s">
        <v>172</v>
      </c>
      <c r="Z49" s="57" t="s">
        <v>456</v>
      </c>
    </row>
    <row r="50" spans="2:26" ht="39.950000000000003" customHeight="1" x14ac:dyDescent="0.2">
      <c r="B50" s="44" t="s">
        <v>325</v>
      </c>
      <c r="C50" s="45" t="s">
        <v>40</v>
      </c>
      <c r="D50" s="11" t="s">
        <v>14</v>
      </c>
      <c r="E50" s="11" t="s">
        <v>27</v>
      </c>
      <c r="F50" s="9" t="s">
        <v>78</v>
      </c>
      <c r="G50" s="9" t="s">
        <v>76</v>
      </c>
      <c r="H50" s="9" t="s">
        <v>258</v>
      </c>
      <c r="I50" s="9" t="s">
        <v>8</v>
      </c>
      <c r="J50" s="9" t="s">
        <v>255</v>
      </c>
      <c r="K50" s="9" t="s">
        <v>245</v>
      </c>
      <c r="L50" s="11" t="s">
        <v>261</v>
      </c>
      <c r="M50" s="46" t="s">
        <v>229</v>
      </c>
      <c r="N50" s="11" t="s">
        <v>34</v>
      </c>
      <c r="O50" s="11" t="s">
        <v>61</v>
      </c>
      <c r="P50" s="9" t="s">
        <v>116</v>
      </c>
      <c r="Q50" s="9" t="s">
        <v>53</v>
      </c>
      <c r="R50" s="10">
        <f t="shared" si="0"/>
        <v>40000</v>
      </c>
      <c r="S50" s="43">
        <v>46082</v>
      </c>
      <c r="T50" s="43" t="s">
        <v>285</v>
      </c>
      <c r="U50" s="43" t="s">
        <v>285</v>
      </c>
      <c r="V50" s="43" t="s">
        <v>285</v>
      </c>
      <c r="W50" s="91">
        <f>70000-30000</f>
        <v>40000</v>
      </c>
      <c r="X50" s="47">
        <v>0</v>
      </c>
      <c r="Y50" s="9" t="s">
        <v>172</v>
      </c>
      <c r="Z50" s="57" t="s">
        <v>456</v>
      </c>
    </row>
    <row r="51" spans="2:26" ht="39.950000000000003" customHeight="1" x14ac:dyDescent="0.2">
      <c r="B51" s="44" t="s">
        <v>326</v>
      </c>
      <c r="C51" s="45" t="s">
        <v>40</v>
      </c>
      <c r="D51" s="11" t="s">
        <v>14</v>
      </c>
      <c r="E51" s="11" t="s">
        <v>27</v>
      </c>
      <c r="F51" s="9" t="s">
        <v>78</v>
      </c>
      <c r="G51" s="11" t="s">
        <v>76</v>
      </c>
      <c r="H51" s="9" t="s">
        <v>258</v>
      </c>
      <c r="I51" s="9" t="s">
        <v>8</v>
      </c>
      <c r="J51" s="9" t="s">
        <v>255</v>
      </c>
      <c r="K51" s="9" t="s">
        <v>245</v>
      </c>
      <c r="L51" s="11" t="s">
        <v>261</v>
      </c>
      <c r="M51" s="46" t="s">
        <v>229</v>
      </c>
      <c r="N51" s="11" t="s">
        <v>34</v>
      </c>
      <c r="O51" s="11" t="s">
        <v>61</v>
      </c>
      <c r="P51" s="9" t="s">
        <v>117</v>
      </c>
      <c r="Q51" s="9" t="s">
        <v>53</v>
      </c>
      <c r="R51" s="10">
        <f t="shared" si="0"/>
        <v>10000</v>
      </c>
      <c r="S51" s="43">
        <v>46082</v>
      </c>
      <c r="T51" s="43" t="s">
        <v>285</v>
      </c>
      <c r="U51" s="43" t="s">
        <v>285</v>
      </c>
      <c r="V51" s="43" t="s">
        <v>285</v>
      </c>
      <c r="W51" s="91">
        <v>10000</v>
      </c>
      <c r="X51" s="47">
        <v>0</v>
      </c>
      <c r="Y51" s="9" t="s">
        <v>172</v>
      </c>
      <c r="Z51" s="9"/>
    </row>
    <row r="52" spans="2:26" ht="39.950000000000003" customHeight="1" x14ac:dyDescent="0.2">
      <c r="B52" s="44" t="s">
        <v>327</v>
      </c>
      <c r="C52" s="45" t="s">
        <v>40</v>
      </c>
      <c r="D52" s="11" t="s">
        <v>14</v>
      </c>
      <c r="E52" s="11" t="s">
        <v>27</v>
      </c>
      <c r="F52" s="9" t="s">
        <v>78</v>
      </c>
      <c r="G52" s="9" t="s">
        <v>76</v>
      </c>
      <c r="H52" s="9" t="s">
        <v>258</v>
      </c>
      <c r="I52" s="9" t="s">
        <v>8</v>
      </c>
      <c r="J52" s="9" t="s">
        <v>255</v>
      </c>
      <c r="K52" s="9" t="s">
        <v>245</v>
      </c>
      <c r="L52" s="11" t="s">
        <v>261</v>
      </c>
      <c r="M52" s="46" t="s">
        <v>229</v>
      </c>
      <c r="N52" s="11" t="s">
        <v>34</v>
      </c>
      <c r="O52" s="11" t="s">
        <v>68</v>
      </c>
      <c r="P52" s="9" t="s">
        <v>118</v>
      </c>
      <c r="Q52" s="9" t="s">
        <v>53</v>
      </c>
      <c r="R52" s="10">
        <f t="shared" si="0"/>
        <v>3000</v>
      </c>
      <c r="S52" s="43">
        <v>46082</v>
      </c>
      <c r="T52" s="43" t="s">
        <v>285</v>
      </c>
      <c r="U52" s="43" t="s">
        <v>285</v>
      </c>
      <c r="V52" s="43" t="s">
        <v>285</v>
      </c>
      <c r="W52" s="91">
        <v>3000</v>
      </c>
      <c r="X52" s="47">
        <v>0</v>
      </c>
      <c r="Y52" s="9" t="s">
        <v>72</v>
      </c>
      <c r="Z52" s="9"/>
    </row>
    <row r="53" spans="2:26" ht="39.950000000000003" customHeight="1" x14ac:dyDescent="0.2">
      <c r="B53" s="44" t="s">
        <v>328</v>
      </c>
      <c r="C53" s="45" t="s">
        <v>40</v>
      </c>
      <c r="D53" s="11" t="s">
        <v>14</v>
      </c>
      <c r="E53" s="11" t="s">
        <v>27</v>
      </c>
      <c r="F53" s="9" t="s">
        <v>78</v>
      </c>
      <c r="G53" s="11" t="s">
        <v>76</v>
      </c>
      <c r="H53" s="9" t="s">
        <v>258</v>
      </c>
      <c r="I53" s="9" t="s">
        <v>8</v>
      </c>
      <c r="J53" s="9" t="s">
        <v>255</v>
      </c>
      <c r="K53" s="9" t="s">
        <v>245</v>
      </c>
      <c r="L53" s="11" t="s">
        <v>261</v>
      </c>
      <c r="M53" s="46" t="s">
        <v>229</v>
      </c>
      <c r="N53" s="11" t="s">
        <v>34</v>
      </c>
      <c r="O53" s="11" t="s">
        <v>68</v>
      </c>
      <c r="P53" s="9" t="s">
        <v>119</v>
      </c>
      <c r="Q53" s="9" t="s">
        <v>53</v>
      </c>
      <c r="R53" s="10">
        <f t="shared" si="0"/>
        <v>10000</v>
      </c>
      <c r="S53" s="43">
        <v>46113</v>
      </c>
      <c r="T53" s="43" t="s">
        <v>285</v>
      </c>
      <c r="U53" s="43" t="s">
        <v>285</v>
      </c>
      <c r="V53" s="43" t="s">
        <v>285</v>
      </c>
      <c r="W53" s="91">
        <v>10000</v>
      </c>
      <c r="X53" s="47">
        <v>0</v>
      </c>
      <c r="Y53" s="9" t="s">
        <v>72</v>
      </c>
      <c r="Z53" s="9"/>
    </row>
    <row r="54" spans="2:26" ht="39.950000000000003" customHeight="1" x14ac:dyDescent="0.2">
      <c r="B54" s="44" t="s">
        <v>329</v>
      </c>
      <c r="C54" s="45" t="s">
        <v>40</v>
      </c>
      <c r="D54" s="11" t="s">
        <v>14</v>
      </c>
      <c r="E54" s="11" t="s">
        <v>27</v>
      </c>
      <c r="F54" s="9" t="s">
        <v>78</v>
      </c>
      <c r="G54" s="9" t="s">
        <v>76</v>
      </c>
      <c r="H54" s="9" t="s">
        <v>258</v>
      </c>
      <c r="I54" s="9" t="s">
        <v>8</v>
      </c>
      <c r="J54" s="9" t="s">
        <v>255</v>
      </c>
      <c r="K54" s="9" t="s">
        <v>245</v>
      </c>
      <c r="L54" s="11" t="s">
        <v>261</v>
      </c>
      <c r="M54" s="46" t="s">
        <v>229</v>
      </c>
      <c r="N54" s="11" t="s">
        <v>34</v>
      </c>
      <c r="O54" s="11" t="s">
        <v>68</v>
      </c>
      <c r="P54" s="9" t="s">
        <v>120</v>
      </c>
      <c r="Q54" s="9" t="s">
        <v>53</v>
      </c>
      <c r="R54" s="10">
        <f t="shared" si="0"/>
        <v>5000</v>
      </c>
      <c r="S54" s="43">
        <v>46113</v>
      </c>
      <c r="T54" s="43" t="s">
        <v>285</v>
      </c>
      <c r="U54" s="43" t="s">
        <v>285</v>
      </c>
      <c r="V54" s="43" t="s">
        <v>285</v>
      </c>
      <c r="W54" s="91">
        <v>5000</v>
      </c>
      <c r="X54" s="47">
        <v>0</v>
      </c>
      <c r="Y54" s="9" t="s">
        <v>72</v>
      </c>
      <c r="Z54" s="9"/>
    </row>
    <row r="55" spans="2:26" ht="39.950000000000003" customHeight="1" x14ac:dyDescent="0.2">
      <c r="B55" s="44" t="s">
        <v>330</v>
      </c>
      <c r="C55" s="45" t="s">
        <v>40</v>
      </c>
      <c r="D55" s="11" t="s">
        <v>14</v>
      </c>
      <c r="E55" s="11" t="s">
        <v>27</v>
      </c>
      <c r="F55" s="9" t="s">
        <v>78</v>
      </c>
      <c r="G55" s="11" t="s">
        <v>76</v>
      </c>
      <c r="H55" s="9" t="s">
        <v>258</v>
      </c>
      <c r="I55" s="9" t="s">
        <v>8</v>
      </c>
      <c r="J55" s="9" t="s">
        <v>255</v>
      </c>
      <c r="K55" s="9" t="s">
        <v>245</v>
      </c>
      <c r="L55" s="11" t="s">
        <v>261</v>
      </c>
      <c r="M55" s="46" t="s">
        <v>229</v>
      </c>
      <c r="N55" s="11" t="s">
        <v>34</v>
      </c>
      <c r="O55" s="11" t="s">
        <v>61</v>
      </c>
      <c r="P55" s="9" t="s">
        <v>121</v>
      </c>
      <c r="Q55" s="9" t="s">
        <v>53</v>
      </c>
      <c r="R55" s="10">
        <f t="shared" si="0"/>
        <v>15000</v>
      </c>
      <c r="S55" s="43">
        <v>46113</v>
      </c>
      <c r="T55" s="43" t="s">
        <v>285</v>
      </c>
      <c r="U55" s="43" t="s">
        <v>285</v>
      </c>
      <c r="V55" s="43" t="s">
        <v>285</v>
      </c>
      <c r="W55" s="91">
        <v>15000</v>
      </c>
      <c r="X55" s="47">
        <v>0</v>
      </c>
      <c r="Y55" s="9" t="s">
        <v>172</v>
      </c>
      <c r="Z55" s="9"/>
    </row>
    <row r="56" spans="2:26" ht="39.950000000000003" customHeight="1" x14ac:dyDescent="0.2">
      <c r="B56" s="44" t="s">
        <v>331</v>
      </c>
      <c r="C56" s="45" t="s">
        <v>40</v>
      </c>
      <c r="D56" s="11" t="s">
        <v>14</v>
      </c>
      <c r="E56" s="11" t="s">
        <v>27</v>
      </c>
      <c r="F56" s="9" t="s">
        <v>78</v>
      </c>
      <c r="G56" s="11" t="s">
        <v>76</v>
      </c>
      <c r="H56" s="9" t="s">
        <v>258</v>
      </c>
      <c r="I56" s="9" t="s">
        <v>8</v>
      </c>
      <c r="J56" s="9" t="s">
        <v>255</v>
      </c>
      <c r="K56" s="9" t="s">
        <v>246</v>
      </c>
      <c r="L56" s="11" t="s">
        <v>261</v>
      </c>
      <c r="M56" s="46" t="s">
        <v>229</v>
      </c>
      <c r="N56" s="11" t="s">
        <v>34</v>
      </c>
      <c r="O56" s="11" t="s">
        <v>61</v>
      </c>
      <c r="P56" s="9" t="s">
        <v>73</v>
      </c>
      <c r="Q56" s="9" t="s">
        <v>41</v>
      </c>
      <c r="R56" s="56">
        <v>25</v>
      </c>
      <c r="S56" s="43">
        <v>46054</v>
      </c>
      <c r="T56" s="43" t="s">
        <v>285</v>
      </c>
      <c r="U56" s="43" t="s">
        <v>285</v>
      </c>
      <c r="V56" s="43" t="s">
        <v>285</v>
      </c>
      <c r="W56" s="91">
        <v>2000</v>
      </c>
      <c r="X56" s="47">
        <v>0</v>
      </c>
      <c r="Y56" s="9" t="s">
        <v>172</v>
      </c>
      <c r="Z56" s="9"/>
    </row>
    <row r="57" spans="2:26" ht="39.950000000000003" customHeight="1" x14ac:dyDescent="0.2">
      <c r="B57" s="44" t="s">
        <v>332</v>
      </c>
      <c r="C57" s="45" t="s">
        <v>40</v>
      </c>
      <c r="D57" s="11" t="s">
        <v>14</v>
      </c>
      <c r="E57" s="11" t="s">
        <v>27</v>
      </c>
      <c r="F57" s="9" t="s">
        <v>78</v>
      </c>
      <c r="G57" s="9" t="s">
        <v>76</v>
      </c>
      <c r="H57" s="9" t="s">
        <v>258</v>
      </c>
      <c r="I57" s="9" t="s">
        <v>8</v>
      </c>
      <c r="J57" s="9" t="s">
        <v>255</v>
      </c>
      <c r="K57" s="9" t="s">
        <v>245</v>
      </c>
      <c r="L57" s="11" t="s">
        <v>261</v>
      </c>
      <c r="M57" s="46" t="s">
        <v>229</v>
      </c>
      <c r="N57" s="11" t="s">
        <v>34</v>
      </c>
      <c r="O57" s="11" t="s">
        <v>61</v>
      </c>
      <c r="P57" s="9" t="s">
        <v>122</v>
      </c>
      <c r="Q57" s="9" t="s">
        <v>53</v>
      </c>
      <c r="R57" s="10">
        <f>W57</f>
        <v>30000</v>
      </c>
      <c r="S57" s="43">
        <v>46082</v>
      </c>
      <c r="T57" s="43" t="s">
        <v>285</v>
      </c>
      <c r="U57" s="43" t="s">
        <v>285</v>
      </c>
      <c r="V57" s="43" t="s">
        <v>285</v>
      </c>
      <c r="W57" s="91">
        <v>30000</v>
      </c>
      <c r="X57" s="47">
        <v>0</v>
      </c>
      <c r="Y57" s="9" t="s">
        <v>72</v>
      </c>
      <c r="Z57" s="9"/>
    </row>
    <row r="58" spans="2:26" ht="39.950000000000003" customHeight="1" x14ac:dyDescent="0.2">
      <c r="B58" s="48" t="s">
        <v>333</v>
      </c>
      <c r="C58" s="49" t="s">
        <v>40</v>
      </c>
      <c r="D58" s="50" t="s">
        <v>14</v>
      </c>
      <c r="E58" s="50" t="s">
        <v>14</v>
      </c>
      <c r="F58" s="50" t="s">
        <v>123</v>
      </c>
      <c r="G58" s="50" t="s">
        <v>124</v>
      </c>
      <c r="H58" s="50" t="s">
        <v>260</v>
      </c>
      <c r="I58" s="50" t="s">
        <v>9</v>
      </c>
      <c r="J58" s="51" t="s">
        <v>255</v>
      </c>
      <c r="K58" s="50" t="s">
        <v>248</v>
      </c>
      <c r="L58" s="50" t="s">
        <v>261</v>
      </c>
      <c r="M58" s="52" t="s">
        <v>230</v>
      </c>
      <c r="N58" s="50" t="s">
        <v>35</v>
      </c>
      <c r="O58" s="50" t="s">
        <v>62</v>
      </c>
      <c r="P58" s="51" t="s">
        <v>125</v>
      </c>
      <c r="Q58" s="51" t="s">
        <v>51</v>
      </c>
      <c r="R58" s="60">
        <v>1</v>
      </c>
      <c r="S58" s="54">
        <v>46174</v>
      </c>
      <c r="T58" s="54" t="s">
        <v>285</v>
      </c>
      <c r="U58" s="54" t="s">
        <v>285</v>
      </c>
      <c r="V58" s="54">
        <v>47483</v>
      </c>
      <c r="W58" s="92">
        <f>4000-4000</f>
        <v>0</v>
      </c>
      <c r="X58" s="55">
        <v>26000000</v>
      </c>
      <c r="Y58" s="51" t="s">
        <v>72</v>
      </c>
      <c r="Z58" s="11" t="s">
        <v>473</v>
      </c>
    </row>
    <row r="59" spans="2:26" ht="39.950000000000003" customHeight="1" x14ac:dyDescent="0.2">
      <c r="B59" s="44" t="s">
        <v>334</v>
      </c>
      <c r="C59" s="45" t="s">
        <v>40</v>
      </c>
      <c r="D59" s="11" t="s">
        <v>14</v>
      </c>
      <c r="E59" s="11" t="s">
        <v>14</v>
      </c>
      <c r="F59" s="9" t="s">
        <v>78</v>
      </c>
      <c r="G59" s="9" t="s">
        <v>76</v>
      </c>
      <c r="H59" s="9" t="s">
        <v>258</v>
      </c>
      <c r="I59" s="9" t="s">
        <v>8</v>
      </c>
      <c r="J59" s="9" t="s">
        <v>255</v>
      </c>
      <c r="K59" s="9" t="s">
        <v>242</v>
      </c>
      <c r="L59" s="11" t="s">
        <v>261</v>
      </c>
      <c r="M59" s="46" t="s">
        <v>229</v>
      </c>
      <c r="N59" s="11" t="s">
        <v>35</v>
      </c>
      <c r="O59" s="11" t="s">
        <v>69</v>
      </c>
      <c r="P59" s="9" t="s">
        <v>126</v>
      </c>
      <c r="Q59" s="9" t="s">
        <v>47</v>
      </c>
      <c r="R59" s="12">
        <v>12</v>
      </c>
      <c r="S59" s="43">
        <v>46023</v>
      </c>
      <c r="T59" s="43" t="s">
        <v>285</v>
      </c>
      <c r="U59" s="43" t="s">
        <v>285</v>
      </c>
      <c r="V59" s="43">
        <v>46387</v>
      </c>
      <c r="W59" s="91">
        <v>36000</v>
      </c>
      <c r="X59" s="47">
        <v>0</v>
      </c>
      <c r="Y59" s="9" t="s">
        <v>72</v>
      </c>
      <c r="Z59" s="9"/>
    </row>
    <row r="60" spans="2:26" ht="39.950000000000003" customHeight="1" x14ac:dyDescent="0.2">
      <c r="B60" s="44" t="s">
        <v>335</v>
      </c>
      <c r="C60" s="45" t="s">
        <v>40</v>
      </c>
      <c r="D60" s="11" t="s">
        <v>14</v>
      </c>
      <c r="E60" s="11" t="s">
        <v>14</v>
      </c>
      <c r="F60" s="9" t="s">
        <v>78</v>
      </c>
      <c r="G60" s="9" t="s">
        <v>76</v>
      </c>
      <c r="H60" s="9" t="s">
        <v>258</v>
      </c>
      <c r="I60" s="9" t="s">
        <v>8</v>
      </c>
      <c r="J60" s="9" t="s">
        <v>255</v>
      </c>
      <c r="K60" s="9" t="s">
        <v>245</v>
      </c>
      <c r="L60" s="11" t="s">
        <v>261</v>
      </c>
      <c r="M60" s="46" t="s">
        <v>229</v>
      </c>
      <c r="N60" s="11" t="s">
        <v>34</v>
      </c>
      <c r="O60" s="11" t="s">
        <v>68</v>
      </c>
      <c r="P60" s="9" t="s">
        <v>127</v>
      </c>
      <c r="Q60" s="9" t="s">
        <v>53</v>
      </c>
      <c r="R60" s="10">
        <f>W60</f>
        <v>3000</v>
      </c>
      <c r="S60" s="43">
        <v>46082</v>
      </c>
      <c r="T60" s="43" t="s">
        <v>285</v>
      </c>
      <c r="U60" s="43" t="s">
        <v>285</v>
      </c>
      <c r="V60" s="43" t="s">
        <v>285</v>
      </c>
      <c r="W60" s="91">
        <v>3000</v>
      </c>
      <c r="X60" s="47">
        <v>0</v>
      </c>
      <c r="Y60" s="9" t="s">
        <v>72</v>
      </c>
      <c r="Z60" s="9"/>
    </row>
    <row r="61" spans="2:26" ht="39.950000000000003" customHeight="1" x14ac:dyDescent="0.2">
      <c r="B61" s="48" t="s">
        <v>336</v>
      </c>
      <c r="C61" s="49" t="s">
        <v>40</v>
      </c>
      <c r="D61" s="50" t="s">
        <v>14</v>
      </c>
      <c r="E61" s="50" t="s">
        <v>14</v>
      </c>
      <c r="F61" s="51" t="s">
        <v>78</v>
      </c>
      <c r="G61" s="50" t="s">
        <v>76</v>
      </c>
      <c r="H61" s="51" t="s">
        <v>258</v>
      </c>
      <c r="I61" s="51" t="s">
        <v>8</v>
      </c>
      <c r="J61" s="51" t="s">
        <v>255</v>
      </c>
      <c r="K61" s="51" t="s">
        <v>242</v>
      </c>
      <c r="L61" s="50" t="s">
        <v>261</v>
      </c>
      <c r="M61" s="52" t="s">
        <v>229</v>
      </c>
      <c r="N61" s="50" t="s">
        <v>35</v>
      </c>
      <c r="O61" s="50" t="s">
        <v>66</v>
      </c>
      <c r="P61" s="51" t="s">
        <v>128</v>
      </c>
      <c r="Q61" s="51" t="s">
        <v>51</v>
      </c>
      <c r="R61" s="60">
        <v>1</v>
      </c>
      <c r="S61" s="54">
        <v>46023</v>
      </c>
      <c r="T61" s="54" t="s">
        <v>285</v>
      </c>
      <c r="U61" s="54" t="s">
        <v>285</v>
      </c>
      <c r="V61" s="54">
        <v>46387</v>
      </c>
      <c r="W61" s="91">
        <f>360000-7689.17-30000-1950-71176-92744-149835</f>
        <v>6605.8300000000163</v>
      </c>
      <c r="X61" s="55">
        <v>0</v>
      </c>
      <c r="Y61" s="51" t="s">
        <v>72</v>
      </c>
      <c r="Z61" s="57" t="s">
        <v>438</v>
      </c>
    </row>
    <row r="62" spans="2:26" ht="39.950000000000003" customHeight="1" x14ac:dyDescent="0.2">
      <c r="B62" s="44" t="s">
        <v>337</v>
      </c>
      <c r="C62" s="45" t="s">
        <v>40</v>
      </c>
      <c r="D62" s="11" t="s">
        <v>14</v>
      </c>
      <c r="E62" s="11" t="s">
        <v>14</v>
      </c>
      <c r="F62" s="9" t="s">
        <v>78</v>
      </c>
      <c r="G62" s="11" t="s">
        <v>76</v>
      </c>
      <c r="H62" s="9" t="s">
        <v>258</v>
      </c>
      <c r="I62" s="9" t="s">
        <v>8</v>
      </c>
      <c r="J62" s="9" t="s">
        <v>255</v>
      </c>
      <c r="K62" s="9" t="s">
        <v>242</v>
      </c>
      <c r="L62" s="11" t="s">
        <v>261</v>
      </c>
      <c r="M62" s="46" t="s">
        <v>229</v>
      </c>
      <c r="N62" s="11" t="s">
        <v>60</v>
      </c>
      <c r="O62" s="11" t="s">
        <v>69</v>
      </c>
      <c r="P62" s="9" t="s">
        <v>129</v>
      </c>
      <c r="Q62" s="9" t="s">
        <v>51</v>
      </c>
      <c r="R62" s="12">
        <v>1</v>
      </c>
      <c r="S62" s="43">
        <v>46023</v>
      </c>
      <c r="T62" s="43" t="s">
        <v>285</v>
      </c>
      <c r="U62" s="43" t="s">
        <v>285</v>
      </c>
      <c r="V62" s="43">
        <v>46247</v>
      </c>
      <c r="W62" s="91">
        <v>3600</v>
      </c>
      <c r="X62" s="47">
        <v>967.27</v>
      </c>
      <c r="Y62" s="9" t="s">
        <v>178</v>
      </c>
      <c r="Z62" s="9"/>
    </row>
    <row r="63" spans="2:26" ht="39.950000000000003" customHeight="1" x14ac:dyDescent="0.2">
      <c r="B63" s="44" t="s">
        <v>338</v>
      </c>
      <c r="C63" s="45" t="s">
        <v>40</v>
      </c>
      <c r="D63" s="11" t="s">
        <v>14</v>
      </c>
      <c r="E63" s="11" t="s">
        <v>14</v>
      </c>
      <c r="F63" s="9" t="s">
        <v>78</v>
      </c>
      <c r="G63" s="11" t="s">
        <v>76</v>
      </c>
      <c r="H63" s="9" t="s">
        <v>258</v>
      </c>
      <c r="I63" s="9" t="s">
        <v>8</v>
      </c>
      <c r="J63" s="9" t="s">
        <v>255</v>
      </c>
      <c r="K63" s="9" t="s">
        <v>242</v>
      </c>
      <c r="L63" s="11" t="s">
        <v>261</v>
      </c>
      <c r="M63" s="46" t="s">
        <v>229</v>
      </c>
      <c r="N63" s="11" t="s">
        <v>35</v>
      </c>
      <c r="O63" s="11" t="s">
        <v>66</v>
      </c>
      <c r="P63" s="9" t="s">
        <v>130</v>
      </c>
      <c r="Q63" s="9" t="s">
        <v>51</v>
      </c>
      <c r="R63" s="12">
        <v>1</v>
      </c>
      <c r="S63" s="43">
        <v>46174</v>
      </c>
      <c r="T63" s="43" t="s">
        <v>285</v>
      </c>
      <c r="U63" s="43" t="s">
        <v>285</v>
      </c>
      <c r="V63" s="43">
        <v>46387</v>
      </c>
      <c r="W63" s="91">
        <f>80000-8000-406.6-885.7-11408.58-395-12600-7755</f>
        <v>38549.119999999995</v>
      </c>
      <c r="X63" s="47">
        <v>0</v>
      </c>
      <c r="Y63" s="9" t="s">
        <v>72</v>
      </c>
      <c r="Z63" s="11" t="s">
        <v>810</v>
      </c>
    </row>
    <row r="64" spans="2:26" ht="39.950000000000003" customHeight="1" x14ac:dyDescent="0.2">
      <c r="B64" s="44" t="s">
        <v>339</v>
      </c>
      <c r="C64" s="45" t="s">
        <v>40</v>
      </c>
      <c r="D64" s="11" t="s">
        <v>14</v>
      </c>
      <c r="E64" s="11" t="s">
        <v>14</v>
      </c>
      <c r="F64" s="11" t="s">
        <v>123</v>
      </c>
      <c r="G64" s="11" t="s">
        <v>124</v>
      </c>
      <c r="H64" s="11" t="s">
        <v>260</v>
      </c>
      <c r="I64" s="11" t="s">
        <v>9</v>
      </c>
      <c r="J64" s="9" t="s">
        <v>255</v>
      </c>
      <c r="K64" s="11" t="s">
        <v>248</v>
      </c>
      <c r="L64" s="11" t="s">
        <v>261</v>
      </c>
      <c r="M64" s="46" t="s">
        <v>230</v>
      </c>
      <c r="N64" s="11" t="s">
        <v>35</v>
      </c>
      <c r="O64" s="11" t="s">
        <v>66</v>
      </c>
      <c r="P64" s="9" t="s">
        <v>131</v>
      </c>
      <c r="Q64" s="9" t="s">
        <v>51</v>
      </c>
      <c r="R64" s="12">
        <v>1</v>
      </c>
      <c r="S64" s="43">
        <v>46174</v>
      </c>
      <c r="T64" s="43" t="s">
        <v>285</v>
      </c>
      <c r="U64" s="43" t="s">
        <v>285</v>
      </c>
      <c r="V64" s="43">
        <v>46387</v>
      </c>
      <c r="W64" s="91">
        <v>1000</v>
      </c>
      <c r="X64" s="47">
        <v>0</v>
      </c>
      <c r="Y64" s="9" t="s">
        <v>72</v>
      </c>
      <c r="Z64" s="9"/>
    </row>
    <row r="65" spans="2:26" ht="39.950000000000003" customHeight="1" x14ac:dyDescent="0.2">
      <c r="B65" s="44" t="s">
        <v>340</v>
      </c>
      <c r="C65" s="45" t="s">
        <v>40</v>
      </c>
      <c r="D65" s="11" t="s">
        <v>14</v>
      </c>
      <c r="E65" s="11" t="s">
        <v>14</v>
      </c>
      <c r="F65" s="9" t="s">
        <v>78</v>
      </c>
      <c r="G65" s="11" t="s">
        <v>76</v>
      </c>
      <c r="H65" s="9" t="s">
        <v>258</v>
      </c>
      <c r="I65" s="9" t="s">
        <v>8</v>
      </c>
      <c r="J65" s="9" t="s">
        <v>255</v>
      </c>
      <c r="K65" s="9" t="s">
        <v>242</v>
      </c>
      <c r="L65" s="11" t="s">
        <v>261</v>
      </c>
      <c r="M65" s="46" t="s">
        <v>229</v>
      </c>
      <c r="N65" s="11" t="s">
        <v>60</v>
      </c>
      <c r="O65" s="11" t="s">
        <v>63</v>
      </c>
      <c r="P65" s="9" t="s">
        <v>132</v>
      </c>
      <c r="Q65" s="9" t="s">
        <v>47</v>
      </c>
      <c r="R65" s="12">
        <v>12</v>
      </c>
      <c r="S65" s="43">
        <v>45575</v>
      </c>
      <c r="T65" s="43" t="s">
        <v>285</v>
      </c>
      <c r="U65" s="43" t="s">
        <v>285</v>
      </c>
      <c r="V65" s="43">
        <v>47400</v>
      </c>
      <c r="W65" s="91">
        <v>3275971</v>
      </c>
      <c r="X65" s="47">
        <v>15655188.280000001</v>
      </c>
      <c r="Y65" s="9" t="s">
        <v>179</v>
      </c>
      <c r="Z65" s="9"/>
    </row>
    <row r="66" spans="2:26" ht="36" x14ac:dyDescent="0.2">
      <c r="B66" s="48" t="s">
        <v>341</v>
      </c>
      <c r="C66" s="49" t="s">
        <v>40</v>
      </c>
      <c r="D66" s="50" t="s">
        <v>20</v>
      </c>
      <c r="E66" s="50" t="s">
        <v>20</v>
      </c>
      <c r="F66" s="51" t="s">
        <v>81</v>
      </c>
      <c r="G66" s="50" t="s">
        <v>82</v>
      </c>
      <c r="H66" s="51" t="s">
        <v>258</v>
      </c>
      <c r="I66" s="51" t="s">
        <v>8</v>
      </c>
      <c r="J66" s="51" t="s">
        <v>255</v>
      </c>
      <c r="K66" s="51" t="s">
        <v>241</v>
      </c>
      <c r="L66" s="50" t="s">
        <v>261</v>
      </c>
      <c r="M66" s="52" t="s">
        <v>229</v>
      </c>
      <c r="N66" s="50" t="s">
        <v>35</v>
      </c>
      <c r="O66" s="50" t="s">
        <v>64</v>
      </c>
      <c r="P66" s="51" t="s">
        <v>224</v>
      </c>
      <c r="Q66" s="51" t="s">
        <v>43</v>
      </c>
      <c r="R66" s="60">
        <v>1</v>
      </c>
      <c r="S66" s="54">
        <v>46024</v>
      </c>
      <c r="T66" s="54">
        <v>46097</v>
      </c>
      <c r="U66" s="54" t="s">
        <v>285</v>
      </c>
      <c r="V66" s="54">
        <v>46387</v>
      </c>
      <c r="W66" s="92">
        <f>52000-52000</f>
        <v>0</v>
      </c>
      <c r="X66" s="55">
        <v>0</v>
      </c>
      <c r="Y66" s="51" t="s">
        <v>72</v>
      </c>
      <c r="Z66" s="11" t="s">
        <v>488</v>
      </c>
    </row>
    <row r="67" spans="2:26" ht="39.950000000000003" customHeight="1" x14ac:dyDescent="0.2">
      <c r="B67" s="44" t="s">
        <v>342</v>
      </c>
      <c r="C67" s="45" t="s">
        <v>40</v>
      </c>
      <c r="D67" s="11" t="s">
        <v>19</v>
      </c>
      <c r="E67" s="11" t="s">
        <v>413</v>
      </c>
      <c r="F67" s="9" t="s">
        <v>80</v>
      </c>
      <c r="G67" s="11" t="s">
        <v>85</v>
      </c>
      <c r="H67" s="9" t="s">
        <v>258</v>
      </c>
      <c r="I67" s="9" t="s">
        <v>8</v>
      </c>
      <c r="J67" s="9" t="s">
        <v>255</v>
      </c>
      <c r="K67" s="9" t="s">
        <v>242</v>
      </c>
      <c r="L67" s="11" t="s">
        <v>261</v>
      </c>
      <c r="M67" s="46" t="s">
        <v>229</v>
      </c>
      <c r="N67" s="11" t="s">
        <v>35</v>
      </c>
      <c r="O67" s="11" t="s">
        <v>70</v>
      </c>
      <c r="P67" s="9" t="s">
        <v>133</v>
      </c>
      <c r="Q67" s="9" t="s">
        <v>53</v>
      </c>
      <c r="R67" s="10">
        <f>W67</f>
        <v>32000</v>
      </c>
      <c r="S67" s="43">
        <v>46023</v>
      </c>
      <c r="T67" s="43" t="s">
        <v>285</v>
      </c>
      <c r="U67" s="43" t="s">
        <v>285</v>
      </c>
      <c r="V67" s="43" t="s">
        <v>285</v>
      </c>
      <c r="W67" s="91">
        <f>12000+10000+10000</f>
        <v>32000</v>
      </c>
      <c r="X67" s="47">
        <v>0</v>
      </c>
      <c r="Y67" s="9" t="s">
        <v>72</v>
      </c>
      <c r="Z67" s="9" t="s">
        <v>443</v>
      </c>
    </row>
    <row r="68" spans="2:26" ht="39.950000000000003" customHeight="1" x14ac:dyDescent="0.2">
      <c r="B68" s="44" t="s">
        <v>343</v>
      </c>
      <c r="C68" s="45" t="s">
        <v>40</v>
      </c>
      <c r="D68" s="11" t="s">
        <v>19</v>
      </c>
      <c r="E68" s="11" t="s">
        <v>413</v>
      </c>
      <c r="F68" s="9" t="s">
        <v>80</v>
      </c>
      <c r="G68" s="11" t="s">
        <v>85</v>
      </c>
      <c r="H68" s="11" t="s">
        <v>258</v>
      </c>
      <c r="I68" s="11" t="s">
        <v>8</v>
      </c>
      <c r="J68" s="9" t="s">
        <v>255</v>
      </c>
      <c r="K68" s="11" t="s">
        <v>242</v>
      </c>
      <c r="L68" s="11" t="s">
        <v>261</v>
      </c>
      <c r="M68" s="46" t="s">
        <v>229</v>
      </c>
      <c r="N68" s="11" t="s">
        <v>35</v>
      </c>
      <c r="O68" s="11" t="s">
        <v>70</v>
      </c>
      <c r="P68" s="9" t="s">
        <v>134</v>
      </c>
      <c r="Q68" s="9" t="s">
        <v>53</v>
      </c>
      <c r="R68" s="10">
        <f>W68</f>
        <v>14000</v>
      </c>
      <c r="S68" s="43">
        <v>46023</v>
      </c>
      <c r="T68" s="43" t="s">
        <v>285</v>
      </c>
      <c r="U68" s="43" t="s">
        <v>285</v>
      </c>
      <c r="V68" s="43" t="s">
        <v>285</v>
      </c>
      <c r="W68" s="91">
        <f>24000-10000</f>
        <v>14000</v>
      </c>
      <c r="X68" s="47">
        <v>0</v>
      </c>
      <c r="Y68" s="9" t="s">
        <v>72</v>
      </c>
      <c r="Z68" s="9" t="s">
        <v>444</v>
      </c>
    </row>
    <row r="69" spans="2:26" ht="39.950000000000003" customHeight="1" x14ac:dyDescent="0.2">
      <c r="B69" s="44" t="s">
        <v>344</v>
      </c>
      <c r="C69" s="45" t="s">
        <v>40</v>
      </c>
      <c r="D69" s="11" t="s">
        <v>19</v>
      </c>
      <c r="E69" s="11" t="s">
        <v>413</v>
      </c>
      <c r="F69" s="9" t="s">
        <v>80</v>
      </c>
      <c r="G69" s="11" t="s">
        <v>85</v>
      </c>
      <c r="H69" s="11" t="s">
        <v>258</v>
      </c>
      <c r="I69" s="11" t="s">
        <v>8</v>
      </c>
      <c r="J69" s="9" t="s">
        <v>255</v>
      </c>
      <c r="K69" s="11" t="s">
        <v>242</v>
      </c>
      <c r="L69" s="11" t="s">
        <v>261</v>
      </c>
      <c r="M69" s="46" t="s">
        <v>229</v>
      </c>
      <c r="N69" s="11" t="s">
        <v>35</v>
      </c>
      <c r="O69" s="11" t="s">
        <v>70</v>
      </c>
      <c r="P69" s="9" t="s">
        <v>135</v>
      </c>
      <c r="Q69" s="9" t="s">
        <v>53</v>
      </c>
      <c r="R69" s="10">
        <f>W69</f>
        <v>14000</v>
      </c>
      <c r="S69" s="43">
        <v>46023</v>
      </c>
      <c r="T69" s="43" t="s">
        <v>285</v>
      </c>
      <c r="U69" s="43" t="s">
        <v>285</v>
      </c>
      <c r="V69" s="43" t="s">
        <v>285</v>
      </c>
      <c r="W69" s="91">
        <f>24000-10000</f>
        <v>14000</v>
      </c>
      <c r="X69" s="47">
        <v>0</v>
      </c>
      <c r="Y69" s="9" t="s">
        <v>72</v>
      </c>
      <c r="Z69" s="9" t="s">
        <v>445</v>
      </c>
    </row>
    <row r="70" spans="2:26" ht="48" x14ac:dyDescent="0.2">
      <c r="B70" s="48" t="s">
        <v>345</v>
      </c>
      <c r="C70" s="49" t="s">
        <v>40</v>
      </c>
      <c r="D70" s="50" t="s">
        <v>227</v>
      </c>
      <c r="E70" s="50" t="s">
        <v>227</v>
      </c>
      <c r="F70" s="51" t="s">
        <v>81</v>
      </c>
      <c r="G70" s="51" t="s">
        <v>82</v>
      </c>
      <c r="H70" s="51" t="s">
        <v>258</v>
      </c>
      <c r="I70" s="51" t="s">
        <v>8</v>
      </c>
      <c r="J70" s="51" t="s">
        <v>255</v>
      </c>
      <c r="K70" s="51" t="s">
        <v>241</v>
      </c>
      <c r="L70" s="50" t="s">
        <v>261</v>
      </c>
      <c r="M70" s="52" t="s">
        <v>229</v>
      </c>
      <c r="N70" s="50" t="s">
        <v>35</v>
      </c>
      <c r="O70" s="50" t="s">
        <v>64</v>
      </c>
      <c r="P70" s="51" t="s">
        <v>136</v>
      </c>
      <c r="Q70" s="51" t="s">
        <v>43</v>
      </c>
      <c r="R70" s="60">
        <v>1</v>
      </c>
      <c r="S70" s="54">
        <v>46024</v>
      </c>
      <c r="T70" s="54" t="s">
        <v>285</v>
      </c>
      <c r="U70" s="54" t="s">
        <v>285</v>
      </c>
      <c r="V70" s="54">
        <v>46387</v>
      </c>
      <c r="W70" s="92">
        <f>52000-24000-6660-21340</f>
        <v>0</v>
      </c>
      <c r="X70" s="55">
        <v>0</v>
      </c>
      <c r="Y70" s="51" t="s">
        <v>72</v>
      </c>
      <c r="Z70" s="11" t="s">
        <v>489</v>
      </c>
    </row>
    <row r="71" spans="2:26" ht="39.950000000000003" customHeight="1" x14ac:dyDescent="0.2">
      <c r="B71" s="44" t="s">
        <v>346</v>
      </c>
      <c r="C71" s="45" t="s">
        <v>40</v>
      </c>
      <c r="D71" s="11" t="s">
        <v>227</v>
      </c>
      <c r="E71" s="11" t="s">
        <v>238</v>
      </c>
      <c r="F71" s="9" t="s">
        <v>81</v>
      </c>
      <c r="G71" s="9" t="s">
        <v>82</v>
      </c>
      <c r="H71" s="9" t="s">
        <v>258</v>
      </c>
      <c r="I71" s="9" t="s">
        <v>8</v>
      </c>
      <c r="J71" s="9" t="s">
        <v>255</v>
      </c>
      <c r="K71" s="9" t="s">
        <v>241</v>
      </c>
      <c r="L71" s="11" t="s">
        <v>261</v>
      </c>
      <c r="M71" s="46" t="s">
        <v>229</v>
      </c>
      <c r="N71" s="11" t="s">
        <v>60</v>
      </c>
      <c r="O71" s="11" t="s">
        <v>64</v>
      </c>
      <c r="P71" s="9" t="s">
        <v>137</v>
      </c>
      <c r="Q71" s="9" t="s">
        <v>43</v>
      </c>
      <c r="R71" s="12">
        <v>1</v>
      </c>
      <c r="S71" s="43">
        <v>45732</v>
      </c>
      <c r="T71" s="43">
        <v>46097</v>
      </c>
      <c r="U71" s="43" t="s">
        <v>285</v>
      </c>
      <c r="V71" s="43">
        <v>46461</v>
      </c>
      <c r="W71" s="91">
        <f>33000+24000</f>
        <v>57000</v>
      </c>
      <c r="X71" s="47">
        <v>16500</v>
      </c>
      <c r="Y71" s="9" t="s">
        <v>590</v>
      </c>
      <c r="Z71" s="9" t="s">
        <v>490</v>
      </c>
    </row>
    <row r="72" spans="2:26" ht="48" x14ac:dyDescent="0.2">
      <c r="B72" s="44" t="s">
        <v>347</v>
      </c>
      <c r="C72" s="45" t="s">
        <v>40</v>
      </c>
      <c r="D72" s="11" t="s">
        <v>227</v>
      </c>
      <c r="E72" s="11" t="s">
        <v>238</v>
      </c>
      <c r="F72" s="9" t="s">
        <v>81</v>
      </c>
      <c r="G72" s="9" t="s">
        <v>82</v>
      </c>
      <c r="H72" s="9" t="s">
        <v>258</v>
      </c>
      <c r="I72" s="9" t="s">
        <v>8</v>
      </c>
      <c r="J72" s="9" t="s">
        <v>255</v>
      </c>
      <c r="K72" s="9" t="s">
        <v>241</v>
      </c>
      <c r="L72" s="11" t="s">
        <v>261</v>
      </c>
      <c r="M72" s="46" t="s">
        <v>229</v>
      </c>
      <c r="N72" s="11" t="s">
        <v>60</v>
      </c>
      <c r="O72" s="11" t="s">
        <v>64</v>
      </c>
      <c r="P72" s="9" t="s">
        <v>137</v>
      </c>
      <c r="Q72" s="9" t="s">
        <v>43</v>
      </c>
      <c r="R72" s="12">
        <v>1</v>
      </c>
      <c r="S72" s="43">
        <v>46204</v>
      </c>
      <c r="T72" s="43" t="s">
        <v>285</v>
      </c>
      <c r="U72" s="43" t="s">
        <v>285</v>
      </c>
      <c r="V72" s="43" t="s">
        <v>287</v>
      </c>
      <c r="W72" s="91">
        <f>28000+6660-29222</f>
        <v>5438</v>
      </c>
      <c r="X72" s="47">
        <f>24000-24000</f>
        <v>0</v>
      </c>
      <c r="Y72" s="9" t="s">
        <v>590</v>
      </c>
      <c r="Z72" s="11" t="s">
        <v>687</v>
      </c>
    </row>
    <row r="73" spans="2:26" ht="36" x14ac:dyDescent="0.2">
      <c r="B73" s="48" t="s">
        <v>348</v>
      </c>
      <c r="C73" s="49" t="s">
        <v>40</v>
      </c>
      <c r="D73" s="50" t="s">
        <v>17</v>
      </c>
      <c r="E73" s="50" t="s">
        <v>17</v>
      </c>
      <c r="F73" s="51" t="s">
        <v>81</v>
      </c>
      <c r="G73" s="51" t="s">
        <v>82</v>
      </c>
      <c r="H73" s="51" t="s">
        <v>258</v>
      </c>
      <c r="I73" s="51" t="s">
        <v>8</v>
      </c>
      <c r="J73" s="51" t="s">
        <v>255</v>
      </c>
      <c r="K73" s="51" t="s">
        <v>241</v>
      </c>
      <c r="L73" s="50" t="s">
        <v>261</v>
      </c>
      <c r="M73" s="52" t="s">
        <v>229</v>
      </c>
      <c r="N73" s="50" t="s">
        <v>35</v>
      </c>
      <c r="O73" s="50" t="s">
        <v>64</v>
      </c>
      <c r="P73" s="51" t="s">
        <v>138</v>
      </c>
      <c r="Q73" s="51" t="s">
        <v>43</v>
      </c>
      <c r="R73" s="60">
        <v>2</v>
      </c>
      <c r="S73" s="54">
        <v>46024</v>
      </c>
      <c r="T73" s="54" t="s">
        <v>285</v>
      </c>
      <c r="U73" s="54" t="s">
        <v>285</v>
      </c>
      <c r="V73" s="54">
        <v>46387</v>
      </c>
      <c r="W73" s="92">
        <f>104000-104000</f>
        <v>0</v>
      </c>
      <c r="X73" s="55">
        <v>0</v>
      </c>
      <c r="Y73" s="51" t="s">
        <v>72</v>
      </c>
      <c r="Z73" s="11" t="s">
        <v>488</v>
      </c>
    </row>
    <row r="74" spans="2:26" ht="39.950000000000003" customHeight="1" x14ac:dyDescent="0.2">
      <c r="B74" s="44" t="s">
        <v>349</v>
      </c>
      <c r="C74" s="45" t="s">
        <v>40</v>
      </c>
      <c r="D74" s="11" t="s">
        <v>17</v>
      </c>
      <c r="E74" s="11" t="s">
        <v>28</v>
      </c>
      <c r="F74" s="9" t="s">
        <v>139</v>
      </c>
      <c r="G74" s="11" t="s">
        <v>140</v>
      </c>
      <c r="H74" s="11" t="s">
        <v>258</v>
      </c>
      <c r="I74" s="11" t="s">
        <v>8</v>
      </c>
      <c r="J74" s="11" t="s">
        <v>257</v>
      </c>
      <c r="K74" s="11" t="s">
        <v>249</v>
      </c>
      <c r="L74" s="11" t="s">
        <v>261</v>
      </c>
      <c r="M74" s="46" t="s">
        <v>229</v>
      </c>
      <c r="N74" s="11" t="s">
        <v>58</v>
      </c>
      <c r="O74" s="11" t="s">
        <v>66</v>
      </c>
      <c r="P74" s="9" t="s">
        <v>235</v>
      </c>
      <c r="Q74" s="9" t="s">
        <v>48</v>
      </c>
      <c r="R74" s="12">
        <v>7</v>
      </c>
      <c r="S74" s="43">
        <v>41631</v>
      </c>
      <c r="T74" s="43" t="s">
        <v>285</v>
      </c>
      <c r="U74" s="43" t="s">
        <v>285</v>
      </c>
      <c r="V74" s="43">
        <v>46379</v>
      </c>
      <c r="W74" s="91">
        <f>5700000+1751534</f>
        <v>7451534</v>
      </c>
      <c r="X74" s="47">
        <v>0</v>
      </c>
      <c r="Y74" s="9" t="s">
        <v>236</v>
      </c>
      <c r="Z74" s="11" t="s">
        <v>581</v>
      </c>
    </row>
    <row r="75" spans="2:26" ht="39.950000000000003" customHeight="1" x14ac:dyDescent="0.2">
      <c r="B75" s="44" t="s">
        <v>350</v>
      </c>
      <c r="C75" s="45" t="s">
        <v>40</v>
      </c>
      <c r="D75" s="11" t="s">
        <v>17</v>
      </c>
      <c r="E75" s="11" t="s">
        <v>28</v>
      </c>
      <c r="F75" s="9" t="s">
        <v>139</v>
      </c>
      <c r="G75" s="11" t="s">
        <v>140</v>
      </c>
      <c r="H75" s="11" t="s">
        <v>258</v>
      </c>
      <c r="I75" s="11" t="s">
        <v>8</v>
      </c>
      <c r="J75" s="9" t="s">
        <v>255</v>
      </c>
      <c r="K75" s="11" t="s">
        <v>242</v>
      </c>
      <c r="L75" s="11" t="s">
        <v>261</v>
      </c>
      <c r="M75" s="46" t="s">
        <v>229</v>
      </c>
      <c r="N75" s="11" t="s">
        <v>35</v>
      </c>
      <c r="O75" s="11" t="s">
        <v>66</v>
      </c>
      <c r="P75" s="9" t="s">
        <v>580</v>
      </c>
      <c r="Q75" s="9" t="s">
        <v>48</v>
      </c>
      <c r="R75" s="12">
        <v>5</v>
      </c>
      <c r="S75" s="43">
        <v>46235</v>
      </c>
      <c r="T75" s="43" t="s">
        <v>285</v>
      </c>
      <c r="U75" s="43" t="s">
        <v>285</v>
      </c>
      <c r="V75" s="43">
        <v>46599</v>
      </c>
      <c r="W75" s="91">
        <f>7818339-1751034</f>
        <v>6067305</v>
      </c>
      <c r="X75" s="47">
        <v>8494227</v>
      </c>
      <c r="Y75" s="9" t="s">
        <v>479</v>
      </c>
      <c r="Z75" s="11" t="s">
        <v>582</v>
      </c>
    </row>
    <row r="76" spans="2:26" ht="36" x14ac:dyDescent="0.2">
      <c r="B76" s="48" t="s">
        <v>351</v>
      </c>
      <c r="C76" s="49" t="s">
        <v>40</v>
      </c>
      <c r="D76" s="50" t="s">
        <v>18</v>
      </c>
      <c r="E76" s="50" t="s">
        <v>18</v>
      </c>
      <c r="F76" s="51" t="s">
        <v>81</v>
      </c>
      <c r="G76" s="51" t="s">
        <v>82</v>
      </c>
      <c r="H76" s="51" t="s">
        <v>258</v>
      </c>
      <c r="I76" s="51" t="s">
        <v>8</v>
      </c>
      <c r="J76" s="51" t="s">
        <v>255</v>
      </c>
      <c r="K76" s="51" t="s">
        <v>241</v>
      </c>
      <c r="L76" s="50" t="s">
        <v>261</v>
      </c>
      <c r="M76" s="52" t="s">
        <v>229</v>
      </c>
      <c r="N76" s="50" t="s">
        <v>35</v>
      </c>
      <c r="O76" s="50" t="s">
        <v>64</v>
      </c>
      <c r="P76" s="51" t="s">
        <v>141</v>
      </c>
      <c r="Q76" s="51" t="s">
        <v>43</v>
      </c>
      <c r="R76" s="60">
        <v>1</v>
      </c>
      <c r="S76" s="54">
        <v>46024</v>
      </c>
      <c r="T76" s="54" t="s">
        <v>285</v>
      </c>
      <c r="U76" s="54" t="s">
        <v>285</v>
      </c>
      <c r="V76" s="54">
        <v>46387</v>
      </c>
      <c r="W76" s="92">
        <f>52000-52000</f>
        <v>0</v>
      </c>
      <c r="X76" s="55">
        <v>0</v>
      </c>
      <c r="Y76" s="51" t="s">
        <v>72</v>
      </c>
      <c r="Z76" s="11" t="s">
        <v>488</v>
      </c>
    </row>
    <row r="77" spans="2:26" ht="39.950000000000003" customHeight="1" x14ac:dyDescent="0.2">
      <c r="B77" s="44" t="s">
        <v>352</v>
      </c>
      <c r="C77" s="45" t="s">
        <v>40</v>
      </c>
      <c r="D77" s="11" t="s">
        <v>19</v>
      </c>
      <c r="E77" s="11" t="s">
        <v>414</v>
      </c>
      <c r="F77" s="9" t="s">
        <v>80</v>
      </c>
      <c r="G77" s="9" t="s">
        <v>85</v>
      </c>
      <c r="H77" s="9" t="s">
        <v>258</v>
      </c>
      <c r="I77" s="9" t="s">
        <v>8</v>
      </c>
      <c r="J77" s="9" t="s">
        <v>255</v>
      </c>
      <c r="K77" s="9" t="s">
        <v>242</v>
      </c>
      <c r="L77" s="11" t="s">
        <v>261</v>
      </c>
      <c r="M77" s="46" t="s">
        <v>229</v>
      </c>
      <c r="N77" s="11" t="s">
        <v>35</v>
      </c>
      <c r="O77" s="11" t="s">
        <v>63</v>
      </c>
      <c r="P77" s="9" t="s">
        <v>142</v>
      </c>
      <c r="Q77" s="9" t="s">
        <v>53</v>
      </c>
      <c r="R77" s="10">
        <f>W77</f>
        <v>150000</v>
      </c>
      <c r="S77" s="43">
        <v>46054</v>
      </c>
      <c r="T77" s="43" t="s">
        <v>285</v>
      </c>
      <c r="U77" s="43" t="s">
        <v>285</v>
      </c>
      <c r="V77" s="43">
        <v>46387</v>
      </c>
      <c r="W77" s="91">
        <f>110000+40000</f>
        <v>150000</v>
      </c>
      <c r="X77" s="47">
        <v>0</v>
      </c>
      <c r="Y77" s="9" t="s">
        <v>180</v>
      </c>
      <c r="Z77" s="9" t="s">
        <v>739</v>
      </c>
    </row>
    <row r="78" spans="2:26" ht="39.950000000000003" customHeight="1" x14ac:dyDescent="0.2">
      <c r="B78" s="44" t="s">
        <v>353</v>
      </c>
      <c r="C78" s="45" t="s">
        <v>40</v>
      </c>
      <c r="D78" s="11" t="s">
        <v>19</v>
      </c>
      <c r="E78" s="11" t="s">
        <v>414</v>
      </c>
      <c r="F78" s="9" t="s">
        <v>80</v>
      </c>
      <c r="G78" s="9" t="s">
        <v>85</v>
      </c>
      <c r="H78" s="9" t="s">
        <v>258</v>
      </c>
      <c r="I78" s="9" t="s">
        <v>8</v>
      </c>
      <c r="J78" s="9" t="s">
        <v>255</v>
      </c>
      <c r="K78" s="9" t="s">
        <v>244</v>
      </c>
      <c r="L78" s="11" t="s">
        <v>261</v>
      </c>
      <c r="M78" s="46" t="s">
        <v>229</v>
      </c>
      <c r="N78" s="11" t="s">
        <v>35</v>
      </c>
      <c r="O78" s="11" t="s">
        <v>63</v>
      </c>
      <c r="P78" s="9" t="s">
        <v>143</v>
      </c>
      <c r="Q78" s="9" t="s">
        <v>53</v>
      </c>
      <c r="R78" s="10">
        <f>W78</f>
        <v>32000</v>
      </c>
      <c r="S78" s="43">
        <v>46054</v>
      </c>
      <c r="T78" s="43" t="s">
        <v>285</v>
      </c>
      <c r="U78" s="43" t="s">
        <v>285</v>
      </c>
      <c r="V78" s="43">
        <v>46387</v>
      </c>
      <c r="W78" s="91">
        <v>32000</v>
      </c>
      <c r="X78" s="47">
        <v>0</v>
      </c>
      <c r="Y78" s="9" t="s">
        <v>180</v>
      </c>
      <c r="Z78" s="9"/>
    </row>
    <row r="79" spans="2:26" ht="39.950000000000003" customHeight="1" x14ac:dyDescent="0.2">
      <c r="B79" s="48" t="s">
        <v>354</v>
      </c>
      <c r="C79" s="49" t="s">
        <v>40</v>
      </c>
      <c r="D79" s="50" t="s">
        <v>19</v>
      </c>
      <c r="E79" s="50" t="s">
        <v>19</v>
      </c>
      <c r="F79" s="51" t="s">
        <v>80</v>
      </c>
      <c r="G79" s="51" t="s">
        <v>85</v>
      </c>
      <c r="H79" s="51" t="s">
        <v>258</v>
      </c>
      <c r="I79" s="51" t="s">
        <v>8</v>
      </c>
      <c r="J79" s="51" t="s">
        <v>254</v>
      </c>
      <c r="K79" s="51" t="s">
        <v>250</v>
      </c>
      <c r="L79" s="50" t="s">
        <v>261</v>
      </c>
      <c r="M79" s="52" t="s">
        <v>229</v>
      </c>
      <c r="N79" s="50" t="s">
        <v>37</v>
      </c>
      <c r="O79" s="50" t="s">
        <v>69</v>
      </c>
      <c r="P79" s="51" t="s">
        <v>144</v>
      </c>
      <c r="Q79" s="51" t="s">
        <v>42</v>
      </c>
      <c r="R79" s="53">
        <v>0</v>
      </c>
      <c r="S79" s="54">
        <v>46054</v>
      </c>
      <c r="T79" s="54" t="s">
        <v>285</v>
      </c>
      <c r="U79" s="54" t="s">
        <v>285</v>
      </c>
      <c r="V79" s="54">
        <v>46387</v>
      </c>
      <c r="W79" s="92">
        <f>4000-2307-810-883</f>
        <v>0</v>
      </c>
      <c r="X79" s="55">
        <v>0</v>
      </c>
      <c r="Y79" s="51" t="s">
        <v>72</v>
      </c>
      <c r="Z79" s="11" t="s">
        <v>491</v>
      </c>
    </row>
    <row r="80" spans="2:26" ht="39.950000000000003" customHeight="1" x14ac:dyDescent="0.2">
      <c r="B80" s="48" t="s">
        <v>355</v>
      </c>
      <c r="C80" s="49" t="s">
        <v>40</v>
      </c>
      <c r="D80" s="50" t="s">
        <v>19</v>
      </c>
      <c r="E80" s="50" t="s">
        <v>19</v>
      </c>
      <c r="F80" s="51" t="s">
        <v>80</v>
      </c>
      <c r="G80" s="51" t="s">
        <v>85</v>
      </c>
      <c r="H80" s="51" t="s">
        <v>258</v>
      </c>
      <c r="I80" s="51" t="s">
        <v>8</v>
      </c>
      <c r="J80" s="51" t="s">
        <v>255</v>
      </c>
      <c r="K80" s="51" t="s">
        <v>245</v>
      </c>
      <c r="L80" s="50" t="s">
        <v>261</v>
      </c>
      <c r="M80" s="52" t="s">
        <v>229</v>
      </c>
      <c r="N80" s="50" t="s">
        <v>34</v>
      </c>
      <c r="O80" s="50" t="s">
        <v>69</v>
      </c>
      <c r="P80" s="51" t="s">
        <v>145</v>
      </c>
      <c r="Q80" s="51" t="s">
        <v>53</v>
      </c>
      <c r="R80" s="53">
        <f>W80</f>
        <v>0</v>
      </c>
      <c r="S80" s="54">
        <v>46054</v>
      </c>
      <c r="T80" s="54" t="s">
        <v>285</v>
      </c>
      <c r="U80" s="54" t="s">
        <v>285</v>
      </c>
      <c r="V80" s="54">
        <v>46387</v>
      </c>
      <c r="W80" s="92">
        <f>4000-4000</f>
        <v>0</v>
      </c>
      <c r="X80" s="55">
        <v>0</v>
      </c>
      <c r="Y80" s="51" t="s">
        <v>72</v>
      </c>
      <c r="Z80" s="11" t="s">
        <v>482</v>
      </c>
    </row>
    <row r="81" spans="2:26" ht="84" x14ac:dyDescent="0.2">
      <c r="B81" s="44" t="s">
        <v>356</v>
      </c>
      <c r="C81" s="45" t="s">
        <v>40</v>
      </c>
      <c r="D81" s="11" t="s">
        <v>19</v>
      </c>
      <c r="E81" s="11" t="s">
        <v>19</v>
      </c>
      <c r="F81" s="11" t="s">
        <v>81</v>
      </c>
      <c r="G81" s="11" t="s">
        <v>225</v>
      </c>
      <c r="H81" s="11" t="s">
        <v>260</v>
      </c>
      <c r="I81" s="11" t="s">
        <v>9</v>
      </c>
      <c r="J81" s="9" t="s">
        <v>255</v>
      </c>
      <c r="K81" s="11" t="s">
        <v>241</v>
      </c>
      <c r="L81" s="11" t="s">
        <v>261</v>
      </c>
      <c r="M81" s="46" t="s">
        <v>230</v>
      </c>
      <c r="N81" s="11" t="s">
        <v>58</v>
      </c>
      <c r="O81" s="11" t="s">
        <v>64</v>
      </c>
      <c r="P81" s="9" t="s">
        <v>147</v>
      </c>
      <c r="Q81" s="9" t="s">
        <v>53</v>
      </c>
      <c r="R81" s="10">
        <f>W81</f>
        <v>2452051</v>
      </c>
      <c r="S81" s="43">
        <v>45604</v>
      </c>
      <c r="T81" s="43" t="s">
        <v>285</v>
      </c>
      <c r="U81" s="43" t="s">
        <v>285</v>
      </c>
      <c r="V81" s="43">
        <v>46752</v>
      </c>
      <c r="W81" s="91">
        <v>2452051</v>
      </c>
      <c r="X81" s="47">
        <v>2452050.61</v>
      </c>
      <c r="Y81" s="9" t="s">
        <v>480</v>
      </c>
      <c r="Z81" s="9" t="s">
        <v>446</v>
      </c>
    </row>
    <row r="82" spans="2:26" ht="39.950000000000003" customHeight="1" x14ac:dyDescent="0.2">
      <c r="B82" s="44" t="s">
        <v>357</v>
      </c>
      <c r="C82" s="45" t="s">
        <v>40</v>
      </c>
      <c r="D82" s="11" t="s">
        <v>19</v>
      </c>
      <c r="E82" s="11" t="s">
        <v>413</v>
      </c>
      <c r="F82" s="9" t="s">
        <v>80</v>
      </c>
      <c r="G82" s="9" t="s">
        <v>85</v>
      </c>
      <c r="H82" s="9" t="s">
        <v>258</v>
      </c>
      <c r="I82" s="9" t="s">
        <v>8</v>
      </c>
      <c r="J82" s="9" t="s">
        <v>255</v>
      </c>
      <c r="K82" s="9" t="s">
        <v>242</v>
      </c>
      <c r="L82" s="11" t="s">
        <v>261</v>
      </c>
      <c r="M82" s="46" t="s">
        <v>229</v>
      </c>
      <c r="N82" s="11" t="s">
        <v>35</v>
      </c>
      <c r="O82" s="11" t="s">
        <v>67</v>
      </c>
      <c r="P82" s="9" t="s">
        <v>148</v>
      </c>
      <c r="Q82" s="9" t="s">
        <v>53</v>
      </c>
      <c r="R82" s="10">
        <f>W82</f>
        <v>70000</v>
      </c>
      <c r="S82" s="43">
        <v>46054</v>
      </c>
      <c r="T82" s="43" t="s">
        <v>285</v>
      </c>
      <c r="U82" s="43" t="s">
        <v>285</v>
      </c>
      <c r="V82" s="43">
        <v>46387</v>
      </c>
      <c r="W82" s="91">
        <f>50000+20000</f>
        <v>70000</v>
      </c>
      <c r="X82" s="47">
        <v>0</v>
      </c>
      <c r="Y82" s="9" t="s">
        <v>72</v>
      </c>
      <c r="Z82" s="9" t="s">
        <v>730</v>
      </c>
    </row>
    <row r="83" spans="2:26" ht="39.950000000000003" customHeight="1" x14ac:dyDescent="0.2">
      <c r="B83" s="44" t="s">
        <v>358</v>
      </c>
      <c r="C83" s="45" t="s">
        <v>40</v>
      </c>
      <c r="D83" s="11" t="s">
        <v>19</v>
      </c>
      <c r="E83" s="11" t="s">
        <v>413</v>
      </c>
      <c r="F83" s="9" t="s">
        <v>80</v>
      </c>
      <c r="G83" s="9" t="s">
        <v>85</v>
      </c>
      <c r="H83" s="9" t="s">
        <v>258</v>
      </c>
      <c r="I83" s="9" t="s">
        <v>8</v>
      </c>
      <c r="J83" s="9" t="s">
        <v>255</v>
      </c>
      <c r="K83" s="9" t="s">
        <v>242</v>
      </c>
      <c r="L83" s="11" t="s">
        <v>261</v>
      </c>
      <c r="M83" s="46" t="s">
        <v>229</v>
      </c>
      <c r="N83" s="11" t="s">
        <v>35</v>
      </c>
      <c r="O83" s="11" t="s">
        <v>69</v>
      </c>
      <c r="P83" s="11" t="s">
        <v>729</v>
      </c>
      <c r="Q83" s="9" t="s">
        <v>53</v>
      </c>
      <c r="R83" s="10">
        <f>W83</f>
        <v>80000</v>
      </c>
      <c r="S83" s="43">
        <v>46204</v>
      </c>
      <c r="T83" s="43" t="s">
        <v>285</v>
      </c>
      <c r="U83" s="43" t="s">
        <v>285</v>
      </c>
      <c r="V83" s="43">
        <v>46387</v>
      </c>
      <c r="W83" s="91">
        <f>100000-20000</f>
        <v>80000</v>
      </c>
      <c r="X83" s="47">
        <v>0</v>
      </c>
      <c r="Y83" s="9" t="s">
        <v>72</v>
      </c>
      <c r="Z83" s="9" t="s">
        <v>731</v>
      </c>
    </row>
    <row r="84" spans="2:26" ht="39.950000000000003" customHeight="1" x14ac:dyDescent="0.2">
      <c r="B84" s="44" t="s">
        <v>359</v>
      </c>
      <c r="C84" s="45" t="s">
        <v>40</v>
      </c>
      <c r="D84" s="11" t="s">
        <v>19</v>
      </c>
      <c r="E84" s="11" t="s">
        <v>19</v>
      </c>
      <c r="F84" s="9" t="s">
        <v>80</v>
      </c>
      <c r="G84" s="9" t="s">
        <v>85</v>
      </c>
      <c r="H84" s="9" t="s">
        <v>258</v>
      </c>
      <c r="I84" s="9" t="s">
        <v>8</v>
      </c>
      <c r="J84" s="9" t="s">
        <v>255</v>
      </c>
      <c r="K84" s="9" t="s">
        <v>246</v>
      </c>
      <c r="L84" s="11" t="s">
        <v>261</v>
      </c>
      <c r="M84" s="46" t="s">
        <v>229</v>
      </c>
      <c r="N84" s="11" t="s">
        <v>35</v>
      </c>
      <c r="O84" s="11" t="s">
        <v>61</v>
      </c>
      <c r="P84" s="9" t="s">
        <v>149</v>
      </c>
      <c r="Q84" s="9" t="s">
        <v>53</v>
      </c>
      <c r="R84" s="10">
        <f>W84</f>
        <v>82883</v>
      </c>
      <c r="S84" s="43">
        <v>46082</v>
      </c>
      <c r="T84" s="43" t="s">
        <v>285</v>
      </c>
      <c r="U84" s="43" t="s">
        <v>285</v>
      </c>
      <c r="V84" s="43">
        <v>46387</v>
      </c>
      <c r="W84" s="91">
        <f>90000-7117</f>
        <v>82883</v>
      </c>
      <c r="X84" s="47">
        <v>0</v>
      </c>
      <c r="Y84" s="9" t="s">
        <v>72</v>
      </c>
      <c r="Z84" s="11" t="s">
        <v>483</v>
      </c>
    </row>
    <row r="85" spans="2:26" ht="39.950000000000003" customHeight="1" x14ac:dyDescent="0.2">
      <c r="B85" s="44" t="s">
        <v>360</v>
      </c>
      <c r="C85" s="45" t="s">
        <v>40</v>
      </c>
      <c r="D85" s="11" t="s">
        <v>19</v>
      </c>
      <c r="E85" s="11" t="s">
        <v>414</v>
      </c>
      <c r="F85" s="9" t="s">
        <v>80</v>
      </c>
      <c r="G85" s="9" t="s">
        <v>85</v>
      </c>
      <c r="H85" s="9" t="s">
        <v>258</v>
      </c>
      <c r="I85" s="9" t="s">
        <v>8</v>
      </c>
      <c r="J85" s="9" t="s">
        <v>255</v>
      </c>
      <c r="K85" s="9" t="s">
        <v>246</v>
      </c>
      <c r="L85" s="11" t="s">
        <v>261</v>
      </c>
      <c r="M85" s="46" t="s">
        <v>229</v>
      </c>
      <c r="N85" s="11" t="s">
        <v>34</v>
      </c>
      <c r="O85" s="11" t="s">
        <v>69</v>
      </c>
      <c r="P85" s="9" t="s">
        <v>150</v>
      </c>
      <c r="Q85" s="9" t="s">
        <v>41</v>
      </c>
      <c r="R85" s="10">
        <f>3+1</f>
        <v>4</v>
      </c>
      <c r="S85" s="43">
        <v>46082</v>
      </c>
      <c r="T85" s="43" t="s">
        <v>285</v>
      </c>
      <c r="U85" s="43" t="s">
        <v>285</v>
      </c>
      <c r="V85" s="43" t="s">
        <v>285</v>
      </c>
      <c r="W85" s="91">
        <f>5907+2037</f>
        <v>7944</v>
      </c>
      <c r="X85" s="47">
        <v>0</v>
      </c>
      <c r="Y85" s="9" t="s">
        <v>72</v>
      </c>
      <c r="Z85" s="11" t="s">
        <v>732</v>
      </c>
    </row>
    <row r="86" spans="2:26" ht="39.950000000000003" customHeight="1" x14ac:dyDescent="0.2">
      <c r="B86" s="44" t="s">
        <v>361</v>
      </c>
      <c r="C86" s="45" t="s">
        <v>40</v>
      </c>
      <c r="D86" s="11" t="s">
        <v>19</v>
      </c>
      <c r="E86" s="11" t="s">
        <v>19</v>
      </c>
      <c r="F86" s="9" t="s">
        <v>80</v>
      </c>
      <c r="G86" s="9" t="s">
        <v>85</v>
      </c>
      <c r="H86" s="9" t="s">
        <v>258</v>
      </c>
      <c r="I86" s="9" t="s">
        <v>8</v>
      </c>
      <c r="J86" s="9" t="s">
        <v>255</v>
      </c>
      <c r="K86" s="9" t="s">
        <v>246</v>
      </c>
      <c r="L86" s="11" t="s">
        <v>261</v>
      </c>
      <c r="M86" s="46" t="s">
        <v>229</v>
      </c>
      <c r="N86" s="11" t="s">
        <v>35</v>
      </c>
      <c r="O86" s="11" t="s">
        <v>61</v>
      </c>
      <c r="P86" s="9" t="s">
        <v>151</v>
      </c>
      <c r="Q86" s="9" t="s">
        <v>41</v>
      </c>
      <c r="R86" s="12">
        <v>1</v>
      </c>
      <c r="S86" s="43">
        <v>46024</v>
      </c>
      <c r="T86" s="43" t="s">
        <v>285</v>
      </c>
      <c r="U86" s="43" t="s">
        <v>285</v>
      </c>
      <c r="V86" s="43">
        <v>46387</v>
      </c>
      <c r="W86" s="91">
        <v>6000</v>
      </c>
      <c r="X86" s="47">
        <v>0</v>
      </c>
      <c r="Y86" s="9" t="s">
        <v>72</v>
      </c>
      <c r="Z86" s="9"/>
    </row>
    <row r="87" spans="2:26" ht="39.950000000000003" customHeight="1" x14ac:dyDescent="0.2">
      <c r="B87" s="44" t="s">
        <v>362</v>
      </c>
      <c r="C87" s="45" t="s">
        <v>40</v>
      </c>
      <c r="D87" s="11" t="s">
        <v>20</v>
      </c>
      <c r="E87" s="11" t="s">
        <v>20</v>
      </c>
      <c r="F87" s="9" t="s">
        <v>80</v>
      </c>
      <c r="G87" s="9" t="s">
        <v>152</v>
      </c>
      <c r="H87" s="9" t="s">
        <v>258</v>
      </c>
      <c r="I87" s="9" t="s">
        <v>8</v>
      </c>
      <c r="J87" s="9" t="s">
        <v>255</v>
      </c>
      <c r="K87" s="9" t="s">
        <v>242</v>
      </c>
      <c r="L87" s="11" t="s">
        <v>261</v>
      </c>
      <c r="M87" s="46" t="s">
        <v>229</v>
      </c>
      <c r="N87" s="11" t="s">
        <v>60</v>
      </c>
      <c r="O87" s="11" t="s">
        <v>63</v>
      </c>
      <c r="P87" s="9" t="s">
        <v>153</v>
      </c>
      <c r="Q87" s="9" t="s">
        <v>53</v>
      </c>
      <c r="R87" s="10">
        <f>W87</f>
        <v>436684</v>
      </c>
      <c r="S87" s="43">
        <v>42717</v>
      </c>
      <c r="T87" s="43" t="s">
        <v>285</v>
      </c>
      <c r="U87" s="43">
        <v>45891</v>
      </c>
      <c r="V87" s="43">
        <v>46003</v>
      </c>
      <c r="W87" s="91">
        <v>436684</v>
      </c>
      <c r="X87" s="47">
        <v>0</v>
      </c>
      <c r="Y87" s="9" t="s">
        <v>181</v>
      </c>
      <c r="Z87" s="9"/>
    </row>
    <row r="88" spans="2:26" ht="39.950000000000003" customHeight="1" x14ac:dyDescent="0.2">
      <c r="B88" s="44" t="s">
        <v>363</v>
      </c>
      <c r="C88" s="45" t="s">
        <v>40</v>
      </c>
      <c r="D88" s="11" t="s">
        <v>20</v>
      </c>
      <c r="E88" s="11" t="s">
        <v>20</v>
      </c>
      <c r="F88" s="9" t="s">
        <v>80</v>
      </c>
      <c r="G88" s="9" t="s">
        <v>152</v>
      </c>
      <c r="H88" s="9" t="s">
        <v>258</v>
      </c>
      <c r="I88" s="9" t="s">
        <v>8</v>
      </c>
      <c r="J88" s="9" t="s">
        <v>255</v>
      </c>
      <c r="K88" s="9" t="s">
        <v>242</v>
      </c>
      <c r="L88" s="11" t="s">
        <v>261</v>
      </c>
      <c r="M88" s="46" t="s">
        <v>229</v>
      </c>
      <c r="N88" s="11" t="s">
        <v>60</v>
      </c>
      <c r="O88" s="11" t="s">
        <v>68</v>
      </c>
      <c r="P88" s="9" t="s">
        <v>154</v>
      </c>
      <c r="Q88" s="9" t="s">
        <v>53</v>
      </c>
      <c r="R88" s="10">
        <f>W88</f>
        <v>9600</v>
      </c>
      <c r="S88" s="43">
        <v>46023</v>
      </c>
      <c r="T88" s="43" t="s">
        <v>285</v>
      </c>
      <c r="U88" s="43" t="s">
        <v>285</v>
      </c>
      <c r="V88" s="43" t="s">
        <v>285</v>
      </c>
      <c r="W88" s="91">
        <v>9600</v>
      </c>
      <c r="X88" s="47">
        <v>0</v>
      </c>
      <c r="Y88" s="9" t="s">
        <v>181</v>
      </c>
      <c r="Z88" s="9"/>
    </row>
    <row r="89" spans="2:26" ht="39.950000000000003" customHeight="1" x14ac:dyDescent="0.2">
      <c r="B89" s="44" t="s">
        <v>364</v>
      </c>
      <c r="C89" s="45" t="s">
        <v>40</v>
      </c>
      <c r="D89" s="11" t="s">
        <v>20</v>
      </c>
      <c r="E89" s="11" t="s">
        <v>20</v>
      </c>
      <c r="F89" s="9" t="s">
        <v>80</v>
      </c>
      <c r="G89" s="9" t="s">
        <v>152</v>
      </c>
      <c r="H89" s="9" t="s">
        <v>258</v>
      </c>
      <c r="I89" s="9" t="s">
        <v>8</v>
      </c>
      <c r="J89" s="9" t="s">
        <v>255</v>
      </c>
      <c r="K89" s="9" t="s">
        <v>242</v>
      </c>
      <c r="L89" s="11" t="s">
        <v>261</v>
      </c>
      <c r="M89" s="46" t="s">
        <v>229</v>
      </c>
      <c r="N89" s="11" t="s">
        <v>60</v>
      </c>
      <c r="O89" s="11" t="s">
        <v>68</v>
      </c>
      <c r="P89" s="9" t="s">
        <v>155</v>
      </c>
      <c r="Q89" s="9" t="s">
        <v>53</v>
      </c>
      <c r="R89" s="10">
        <f>W89</f>
        <v>42000</v>
      </c>
      <c r="S89" s="43">
        <v>46023</v>
      </c>
      <c r="T89" s="43" t="s">
        <v>285</v>
      </c>
      <c r="U89" s="43" t="s">
        <v>285</v>
      </c>
      <c r="V89" s="43" t="s">
        <v>285</v>
      </c>
      <c r="W89" s="91">
        <v>42000</v>
      </c>
      <c r="X89" s="47">
        <v>0</v>
      </c>
      <c r="Y89" s="9" t="s">
        <v>181</v>
      </c>
      <c r="Z89" s="9"/>
    </row>
    <row r="90" spans="2:26" ht="39.950000000000003" customHeight="1" x14ac:dyDescent="0.2">
      <c r="B90" s="44" t="s">
        <v>365</v>
      </c>
      <c r="C90" s="45" t="s">
        <v>40</v>
      </c>
      <c r="D90" s="11" t="s">
        <v>20</v>
      </c>
      <c r="E90" s="11" t="s">
        <v>20</v>
      </c>
      <c r="F90" s="9" t="s">
        <v>80</v>
      </c>
      <c r="G90" s="9" t="s">
        <v>152</v>
      </c>
      <c r="H90" s="9" t="s">
        <v>258</v>
      </c>
      <c r="I90" s="9" t="s">
        <v>8</v>
      </c>
      <c r="J90" s="9" t="s">
        <v>255</v>
      </c>
      <c r="K90" s="9" t="s">
        <v>242</v>
      </c>
      <c r="L90" s="11" t="s">
        <v>261</v>
      </c>
      <c r="M90" s="46" t="s">
        <v>229</v>
      </c>
      <c r="N90" s="11" t="s">
        <v>35</v>
      </c>
      <c r="O90" s="11" t="s">
        <v>67</v>
      </c>
      <c r="P90" s="11" t="s">
        <v>156</v>
      </c>
      <c r="Q90" s="9" t="s">
        <v>53</v>
      </c>
      <c r="R90" s="10">
        <f>W90</f>
        <v>5000</v>
      </c>
      <c r="S90" s="43">
        <v>46082</v>
      </c>
      <c r="T90" s="43" t="s">
        <v>285</v>
      </c>
      <c r="U90" s="43" t="s">
        <v>285</v>
      </c>
      <c r="V90" s="43">
        <v>46387</v>
      </c>
      <c r="W90" s="91">
        <v>5000</v>
      </c>
      <c r="X90" s="47">
        <v>0</v>
      </c>
      <c r="Y90" s="9" t="s">
        <v>72</v>
      </c>
      <c r="Z90" s="9"/>
    </row>
    <row r="91" spans="2:26" ht="39.950000000000003" customHeight="1" x14ac:dyDescent="0.2">
      <c r="B91" s="44" t="s">
        <v>366</v>
      </c>
      <c r="C91" s="45" t="s">
        <v>40</v>
      </c>
      <c r="D91" s="11" t="s">
        <v>21</v>
      </c>
      <c r="E91" s="11" t="s">
        <v>21</v>
      </c>
      <c r="F91" s="11" t="s">
        <v>81</v>
      </c>
      <c r="G91" s="11" t="s">
        <v>233</v>
      </c>
      <c r="H91" s="11" t="s">
        <v>260</v>
      </c>
      <c r="I91" s="11" t="s">
        <v>9</v>
      </c>
      <c r="J91" s="9" t="s">
        <v>255</v>
      </c>
      <c r="K91" s="11" t="s">
        <v>241</v>
      </c>
      <c r="L91" s="11" t="s">
        <v>261</v>
      </c>
      <c r="M91" s="46" t="s">
        <v>230</v>
      </c>
      <c r="N91" s="11" t="s">
        <v>58</v>
      </c>
      <c r="O91" s="11" t="s">
        <v>64</v>
      </c>
      <c r="P91" s="9" t="s">
        <v>157</v>
      </c>
      <c r="Q91" s="9" t="s">
        <v>53</v>
      </c>
      <c r="R91" s="10">
        <f>W91</f>
        <v>365200</v>
      </c>
      <c r="S91" s="43">
        <v>46024</v>
      </c>
      <c r="T91" s="43" t="s">
        <v>285</v>
      </c>
      <c r="U91" s="43" t="s">
        <v>285</v>
      </c>
      <c r="V91" s="43">
        <v>46752</v>
      </c>
      <c r="W91" s="91">
        <v>365200</v>
      </c>
      <c r="X91" s="47">
        <v>401720</v>
      </c>
      <c r="Y91" s="9" t="s">
        <v>182</v>
      </c>
      <c r="Z91" s="9" t="s">
        <v>447</v>
      </c>
    </row>
    <row r="92" spans="2:26" ht="36" x14ac:dyDescent="0.2">
      <c r="B92" s="48" t="s">
        <v>367</v>
      </c>
      <c r="C92" s="49" t="s">
        <v>40</v>
      </c>
      <c r="D92" s="50" t="s">
        <v>21</v>
      </c>
      <c r="E92" s="50" t="s">
        <v>21</v>
      </c>
      <c r="F92" s="51" t="s">
        <v>81</v>
      </c>
      <c r="G92" s="51" t="s">
        <v>82</v>
      </c>
      <c r="H92" s="51" t="s">
        <v>258</v>
      </c>
      <c r="I92" s="51" t="s">
        <v>8</v>
      </c>
      <c r="J92" s="51" t="s">
        <v>255</v>
      </c>
      <c r="K92" s="51" t="s">
        <v>241</v>
      </c>
      <c r="L92" s="50" t="s">
        <v>261</v>
      </c>
      <c r="M92" s="52" t="s">
        <v>229</v>
      </c>
      <c r="N92" s="50" t="s">
        <v>35</v>
      </c>
      <c r="O92" s="50" t="s">
        <v>64</v>
      </c>
      <c r="P92" s="51" t="s">
        <v>158</v>
      </c>
      <c r="Q92" s="51" t="s">
        <v>43</v>
      </c>
      <c r="R92" s="60">
        <v>1</v>
      </c>
      <c r="S92" s="54">
        <v>46024</v>
      </c>
      <c r="T92" s="54" t="s">
        <v>285</v>
      </c>
      <c r="U92" s="54" t="s">
        <v>285</v>
      </c>
      <c r="V92" s="54">
        <v>46387</v>
      </c>
      <c r="W92" s="92">
        <f>48000-48000</f>
        <v>0</v>
      </c>
      <c r="X92" s="55">
        <v>0</v>
      </c>
      <c r="Y92" s="51" t="s">
        <v>72</v>
      </c>
      <c r="Z92" s="11" t="s">
        <v>488</v>
      </c>
    </row>
    <row r="93" spans="2:26" ht="39.950000000000003" customHeight="1" x14ac:dyDescent="0.2">
      <c r="B93" s="44" t="s">
        <v>368</v>
      </c>
      <c r="C93" s="45" t="s">
        <v>40</v>
      </c>
      <c r="D93" s="11" t="s">
        <v>23</v>
      </c>
      <c r="E93" s="11" t="s">
        <v>23</v>
      </c>
      <c r="F93" s="9" t="s">
        <v>80</v>
      </c>
      <c r="G93" s="9" t="s">
        <v>159</v>
      </c>
      <c r="H93" s="9" t="s">
        <v>258</v>
      </c>
      <c r="I93" s="9" t="s">
        <v>8</v>
      </c>
      <c r="J93" s="9" t="s">
        <v>255</v>
      </c>
      <c r="K93" s="9" t="s">
        <v>246</v>
      </c>
      <c r="L93" s="11" t="s">
        <v>262</v>
      </c>
      <c r="M93" s="46" t="s">
        <v>231</v>
      </c>
      <c r="N93" s="11" t="s">
        <v>60</v>
      </c>
      <c r="O93" s="11" t="s">
        <v>66</v>
      </c>
      <c r="P93" s="9" t="s">
        <v>160</v>
      </c>
      <c r="Q93" s="9" t="s">
        <v>47</v>
      </c>
      <c r="R93" s="12">
        <v>48</v>
      </c>
      <c r="S93" s="43">
        <v>45363</v>
      </c>
      <c r="T93" s="43" t="s">
        <v>285</v>
      </c>
      <c r="U93" s="43">
        <v>46092</v>
      </c>
      <c r="V93" s="43">
        <v>47188</v>
      </c>
      <c r="W93" s="91">
        <v>4874400</v>
      </c>
      <c r="X93" s="47">
        <v>11653813.450800002</v>
      </c>
      <c r="Y93" s="9" t="s">
        <v>183</v>
      </c>
      <c r="Z93" s="9"/>
    </row>
    <row r="94" spans="2:26" ht="69" customHeight="1" x14ac:dyDescent="0.2">
      <c r="B94" s="44" t="s">
        <v>369</v>
      </c>
      <c r="C94" s="45" t="s">
        <v>40</v>
      </c>
      <c r="D94" s="11" t="s">
        <v>23</v>
      </c>
      <c r="E94" s="11" t="s">
        <v>23</v>
      </c>
      <c r="F94" s="11" t="s">
        <v>80</v>
      </c>
      <c r="G94" s="11" t="s">
        <v>159</v>
      </c>
      <c r="H94" s="11" t="s">
        <v>260</v>
      </c>
      <c r="I94" s="11" t="s">
        <v>9</v>
      </c>
      <c r="J94" s="9" t="s">
        <v>255</v>
      </c>
      <c r="K94" s="11" t="s">
        <v>246</v>
      </c>
      <c r="L94" s="11" t="s">
        <v>262</v>
      </c>
      <c r="M94" s="46" t="s">
        <v>232</v>
      </c>
      <c r="N94" s="11" t="s">
        <v>60</v>
      </c>
      <c r="O94" s="11" t="s">
        <v>66</v>
      </c>
      <c r="P94" s="9" t="s">
        <v>161</v>
      </c>
      <c r="Q94" s="9" t="s">
        <v>49</v>
      </c>
      <c r="R94" s="12">
        <v>5000</v>
      </c>
      <c r="S94" s="43">
        <v>45363</v>
      </c>
      <c r="T94" s="43" t="s">
        <v>285</v>
      </c>
      <c r="U94" s="43">
        <v>46092</v>
      </c>
      <c r="V94" s="43">
        <v>47188</v>
      </c>
      <c r="W94" s="91">
        <v>1961667</v>
      </c>
      <c r="X94" s="47">
        <v>4344895.5</v>
      </c>
      <c r="Y94" s="9" t="s">
        <v>183</v>
      </c>
      <c r="Z94" s="9"/>
    </row>
    <row r="95" spans="2:26" ht="39.950000000000003" customHeight="1" x14ac:dyDescent="0.2">
      <c r="B95" s="44" t="s">
        <v>370</v>
      </c>
      <c r="C95" s="45" t="s">
        <v>40</v>
      </c>
      <c r="D95" s="11" t="s">
        <v>23</v>
      </c>
      <c r="E95" s="11" t="s">
        <v>23</v>
      </c>
      <c r="F95" s="9" t="s">
        <v>80</v>
      </c>
      <c r="G95" s="9" t="s">
        <v>162</v>
      </c>
      <c r="H95" s="9" t="s">
        <v>258</v>
      </c>
      <c r="I95" s="9" t="s">
        <v>8</v>
      </c>
      <c r="J95" s="9" t="s">
        <v>255</v>
      </c>
      <c r="K95" s="9" t="s">
        <v>246</v>
      </c>
      <c r="L95" s="11" t="s">
        <v>262</v>
      </c>
      <c r="M95" s="46" t="s">
        <v>231</v>
      </c>
      <c r="N95" s="11" t="s">
        <v>60</v>
      </c>
      <c r="O95" s="11" t="s">
        <v>66</v>
      </c>
      <c r="P95" s="9" t="s">
        <v>163</v>
      </c>
      <c r="Q95" s="9" t="s">
        <v>47</v>
      </c>
      <c r="R95" s="12">
        <v>24</v>
      </c>
      <c r="S95" s="43">
        <v>45976</v>
      </c>
      <c r="T95" s="43" t="s">
        <v>285</v>
      </c>
      <c r="U95" s="43">
        <v>46341</v>
      </c>
      <c r="V95" s="43">
        <v>46706</v>
      </c>
      <c r="W95" s="91">
        <f>1200000-118869.85</f>
        <v>1081130.1499999999</v>
      </c>
      <c r="X95" s="47">
        <v>1284000</v>
      </c>
      <c r="Y95" s="9" t="s">
        <v>185</v>
      </c>
      <c r="Z95" s="11" t="s">
        <v>605</v>
      </c>
    </row>
    <row r="96" spans="2:26" ht="39.950000000000003" customHeight="1" x14ac:dyDescent="0.2">
      <c r="B96" s="44" t="s">
        <v>371</v>
      </c>
      <c r="C96" s="45" t="s">
        <v>40</v>
      </c>
      <c r="D96" s="11" t="s">
        <v>23</v>
      </c>
      <c r="E96" s="11" t="s">
        <v>23</v>
      </c>
      <c r="F96" s="11" t="s">
        <v>81</v>
      </c>
      <c r="G96" s="11" t="s">
        <v>146</v>
      </c>
      <c r="H96" s="11" t="s">
        <v>260</v>
      </c>
      <c r="I96" s="11" t="s">
        <v>9</v>
      </c>
      <c r="J96" s="9" t="s">
        <v>255</v>
      </c>
      <c r="K96" s="11" t="s">
        <v>241</v>
      </c>
      <c r="L96" s="11" t="s">
        <v>261</v>
      </c>
      <c r="M96" s="46" t="s">
        <v>230</v>
      </c>
      <c r="N96" s="11" t="s">
        <v>58</v>
      </c>
      <c r="O96" s="11" t="s">
        <v>64</v>
      </c>
      <c r="P96" s="9" t="s">
        <v>164</v>
      </c>
      <c r="Q96" s="9" t="s">
        <v>53</v>
      </c>
      <c r="R96" s="10">
        <f>W96</f>
        <v>268300</v>
      </c>
      <c r="S96" s="43">
        <v>45604</v>
      </c>
      <c r="T96" s="43" t="s">
        <v>285</v>
      </c>
      <c r="U96" s="43" t="s">
        <v>285</v>
      </c>
      <c r="V96" s="43">
        <v>46752</v>
      </c>
      <c r="W96" s="91">
        <v>268300</v>
      </c>
      <c r="X96" s="47">
        <v>268300</v>
      </c>
      <c r="Y96" s="9" t="s">
        <v>186</v>
      </c>
      <c r="Z96" s="9" t="s">
        <v>447</v>
      </c>
    </row>
    <row r="97" spans="2:26" ht="36" x14ac:dyDescent="0.2">
      <c r="B97" s="48" t="s">
        <v>372</v>
      </c>
      <c r="C97" s="49" t="s">
        <v>40</v>
      </c>
      <c r="D97" s="50" t="s">
        <v>23</v>
      </c>
      <c r="E97" s="50" t="s">
        <v>23</v>
      </c>
      <c r="F97" s="51" t="s">
        <v>81</v>
      </c>
      <c r="G97" s="51" t="s">
        <v>82</v>
      </c>
      <c r="H97" s="51" t="s">
        <v>258</v>
      </c>
      <c r="I97" s="51" t="s">
        <v>8</v>
      </c>
      <c r="J97" s="51" t="s">
        <v>255</v>
      </c>
      <c r="K97" s="51" t="s">
        <v>241</v>
      </c>
      <c r="L97" s="50" t="s">
        <v>261</v>
      </c>
      <c r="M97" s="52" t="s">
        <v>229</v>
      </c>
      <c r="N97" s="50" t="s">
        <v>35</v>
      </c>
      <c r="O97" s="50" t="s">
        <v>64</v>
      </c>
      <c r="P97" s="51" t="s">
        <v>165</v>
      </c>
      <c r="Q97" s="51" t="s">
        <v>43</v>
      </c>
      <c r="R97" s="61">
        <v>1</v>
      </c>
      <c r="S97" s="54">
        <v>46024</v>
      </c>
      <c r="T97" s="54" t="s">
        <v>285</v>
      </c>
      <c r="U97" s="54" t="s">
        <v>285</v>
      </c>
      <c r="V97" s="54">
        <v>46387</v>
      </c>
      <c r="W97" s="92">
        <f>52000-52000</f>
        <v>0</v>
      </c>
      <c r="X97" s="55">
        <v>0</v>
      </c>
      <c r="Y97" s="51" t="s">
        <v>72</v>
      </c>
      <c r="Z97" s="11" t="s">
        <v>488</v>
      </c>
    </row>
    <row r="98" spans="2:26" ht="39.950000000000003" customHeight="1" x14ac:dyDescent="0.2">
      <c r="B98" s="44" t="s">
        <v>373</v>
      </c>
      <c r="C98" s="45" t="s">
        <v>40</v>
      </c>
      <c r="D98" s="11" t="s">
        <v>23</v>
      </c>
      <c r="E98" s="11" t="s">
        <v>29</v>
      </c>
      <c r="F98" s="9" t="s">
        <v>78</v>
      </c>
      <c r="G98" s="9" t="s">
        <v>76</v>
      </c>
      <c r="H98" s="9" t="s">
        <v>258</v>
      </c>
      <c r="I98" s="9" t="s">
        <v>8</v>
      </c>
      <c r="J98" s="9" t="s">
        <v>255</v>
      </c>
      <c r="K98" s="9" t="s">
        <v>246</v>
      </c>
      <c r="L98" s="11" t="s">
        <v>261</v>
      </c>
      <c r="M98" s="46" t="s">
        <v>229</v>
      </c>
      <c r="N98" s="11" t="s">
        <v>60</v>
      </c>
      <c r="O98" s="11" t="s">
        <v>66</v>
      </c>
      <c r="P98" s="9" t="s">
        <v>166</v>
      </c>
      <c r="Q98" s="9" t="s">
        <v>47</v>
      </c>
      <c r="R98" s="12">
        <v>17</v>
      </c>
      <c r="S98" s="43">
        <v>44827</v>
      </c>
      <c r="T98" s="43">
        <v>46288</v>
      </c>
      <c r="U98" s="43">
        <v>46266</v>
      </c>
      <c r="V98" s="43">
        <v>46652</v>
      </c>
      <c r="W98" s="91">
        <v>141478</v>
      </c>
      <c r="X98" s="47">
        <v>110947.23</v>
      </c>
      <c r="Y98" s="9" t="s">
        <v>71</v>
      </c>
      <c r="Z98" s="9"/>
    </row>
    <row r="99" spans="2:26" ht="48" x14ac:dyDescent="0.2">
      <c r="B99" s="44" t="s">
        <v>374</v>
      </c>
      <c r="C99" s="45" t="s">
        <v>40</v>
      </c>
      <c r="D99" s="11" t="s">
        <v>23</v>
      </c>
      <c r="E99" s="11" t="s">
        <v>29</v>
      </c>
      <c r="F99" s="9" t="s">
        <v>78</v>
      </c>
      <c r="G99" s="9" t="s">
        <v>76</v>
      </c>
      <c r="H99" s="9" t="s">
        <v>258</v>
      </c>
      <c r="I99" s="9" t="s">
        <v>8</v>
      </c>
      <c r="J99" s="9" t="s">
        <v>255</v>
      </c>
      <c r="K99" s="9" t="s">
        <v>243</v>
      </c>
      <c r="L99" s="11" t="s">
        <v>261</v>
      </c>
      <c r="M99" s="46" t="s">
        <v>229</v>
      </c>
      <c r="N99" s="11" t="s">
        <v>60</v>
      </c>
      <c r="O99" s="11" t="s">
        <v>67</v>
      </c>
      <c r="P99" s="9" t="s">
        <v>167</v>
      </c>
      <c r="Q99" s="9" t="s">
        <v>47</v>
      </c>
      <c r="R99" s="12">
        <f>12+6</f>
        <v>18</v>
      </c>
      <c r="S99" s="43">
        <v>45133</v>
      </c>
      <c r="T99" s="43">
        <v>46229</v>
      </c>
      <c r="U99" s="43">
        <v>46229</v>
      </c>
      <c r="V99" s="43">
        <v>46593</v>
      </c>
      <c r="W99" s="91">
        <v>1059165</v>
      </c>
      <c r="X99" s="47">
        <v>547491.17999999993</v>
      </c>
      <c r="Y99" s="9" t="s">
        <v>187</v>
      </c>
      <c r="Z99" s="9"/>
    </row>
    <row r="100" spans="2:26" ht="48" x14ac:dyDescent="0.2">
      <c r="B100" s="44" t="s">
        <v>375</v>
      </c>
      <c r="C100" s="45" t="s">
        <v>40</v>
      </c>
      <c r="D100" s="11" t="s">
        <v>23</v>
      </c>
      <c r="E100" s="11" t="s">
        <v>29</v>
      </c>
      <c r="F100" s="9" t="s">
        <v>78</v>
      </c>
      <c r="G100" s="9" t="s">
        <v>76</v>
      </c>
      <c r="H100" s="9" t="s">
        <v>258</v>
      </c>
      <c r="I100" s="9" t="s">
        <v>8</v>
      </c>
      <c r="J100" s="9" t="s">
        <v>255</v>
      </c>
      <c r="K100" s="9" t="s">
        <v>246</v>
      </c>
      <c r="L100" s="11" t="s">
        <v>261</v>
      </c>
      <c r="M100" s="46" t="s">
        <v>229</v>
      </c>
      <c r="N100" s="11" t="s">
        <v>60</v>
      </c>
      <c r="O100" s="11" t="s">
        <v>67</v>
      </c>
      <c r="P100" s="9" t="s">
        <v>168</v>
      </c>
      <c r="Q100" s="9" t="s">
        <v>52</v>
      </c>
      <c r="R100" s="12">
        <v>1500</v>
      </c>
      <c r="S100" s="43">
        <v>45133</v>
      </c>
      <c r="T100" s="43">
        <v>46229</v>
      </c>
      <c r="U100" s="43">
        <v>46229</v>
      </c>
      <c r="V100" s="43">
        <v>46593</v>
      </c>
      <c r="W100" s="91">
        <v>118276</v>
      </c>
      <c r="X100" s="47">
        <v>61137.66</v>
      </c>
      <c r="Y100" s="9" t="s">
        <v>187</v>
      </c>
      <c r="Z100" s="9"/>
    </row>
    <row r="101" spans="2:26" ht="39.950000000000003" customHeight="1" x14ac:dyDescent="0.2">
      <c r="B101" s="44" t="s">
        <v>376</v>
      </c>
      <c r="C101" s="45" t="s">
        <v>40</v>
      </c>
      <c r="D101" s="11" t="s">
        <v>23</v>
      </c>
      <c r="E101" s="11" t="s">
        <v>29</v>
      </c>
      <c r="F101" s="9" t="s">
        <v>78</v>
      </c>
      <c r="G101" s="9" t="s">
        <v>76</v>
      </c>
      <c r="H101" s="9" t="s">
        <v>258</v>
      </c>
      <c r="I101" s="9" t="s">
        <v>8</v>
      </c>
      <c r="J101" s="9" t="s">
        <v>255</v>
      </c>
      <c r="K101" s="9" t="s">
        <v>242</v>
      </c>
      <c r="L101" s="11" t="s">
        <v>261</v>
      </c>
      <c r="M101" s="46" t="s">
        <v>229</v>
      </c>
      <c r="N101" s="11" t="s">
        <v>60</v>
      </c>
      <c r="O101" s="11" t="s">
        <v>66</v>
      </c>
      <c r="P101" s="9" t="s">
        <v>427</v>
      </c>
      <c r="Q101" s="9" t="s">
        <v>47</v>
      </c>
      <c r="R101" s="12">
        <v>12</v>
      </c>
      <c r="S101" s="43">
        <v>44764</v>
      </c>
      <c r="T101" s="43">
        <v>46224</v>
      </c>
      <c r="U101" s="43">
        <v>46204</v>
      </c>
      <c r="V101" s="43">
        <v>46589</v>
      </c>
      <c r="W101" s="91">
        <v>31795</v>
      </c>
      <c r="X101" s="47">
        <v>19174.399999999998</v>
      </c>
      <c r="Y101" s="9" t="s">
        <v>187</v>
      </c>
      <c r="Z101" s="9"/>
    </row>
    <row r="102" spans="2:26" ht="39.950000000000003" customHeight="1" x14ac:dyDescent="0.2">
      <c r="B102" s="44" t="s">
        <v>377</v>
      </c>
      <c r="C102" s="45" t="s">
        <v>40</v>
      </c>
      <c r="D102" s="11" t="s">
        <v>23</v>
      </c>
      <c r="E102" s="11" t="s">
        <v>29</v>
      </c>
      <c r="F102" s="9" t="s">
        <v>78</v>
      </c>
      <c r="G102" s="9" t="s">
        <v>76</v>
      </c>
      <c r="H102" s="9" t="s">
        <v>258</v>
      </c>
      <c r="I102" s="9" t="s">
        <v>8</v>
      </c>
      <c r="J102" s="9" t="s">
        <v>255</v>
      </c>
      <c r="K102" s="9" t="s">
        <v>245</v>
      </c>
      <c r="L102" s="11" t="s">
        <v>261</v>
      </c>
      <c r="M102" s="46" t="s">
        <v>229</v>
      </c>
      <c r="N102" s="11" t="s">
        <v>34</v>
      </c>
      <c r="O102" s="11" t="s">
        <v>66</v>
      </c>
      <c r="P102" s="9" t="s">
        <v>169</v>
      </c>
      <c r="Q102" s="9" t="s">
        <v>53</v>
      </c>
      <c r="R102" s="10">
        <f>W102</f>
        <v>40000</v>
      </c>
      <c r="S102" s="43">
        <v>46235</v>
      </c>
      <c r="T102" s="43" t="s">
        <v>285</v>
      </c>
      <c r="U102" s="43" t="s">
        <v>285</v>
      </c>
      <c r="V102" s="43" t="s">
        <v>285</v>
      </c>
      <c r="W102" s="91">
        <f>40000</f>
        <v>40000</v>
      </c>
      <c r="X102" s="47">
        <v>0</v>
      </c>
      <c r="Y102" s="9" t="s">
        <v>72</v>
      </c>
      <c r="Z102" s="9"/>
    </row>
    <row r="103" spans="2:26" ht="228" x14ac:dyDescent="0.2">
      <c r="B103" s="44" t="s">
        <v>378</v>
      </c>
      <c r="C103" s="45" t="s">
        <v>38</v>
      </c>
      <c r="D103" s="11" t="s">
        <v>15</v>
      </c>
      <c r="E103" s="11" t="s">
        <v>15</v>
      </c>
      <c r="F103" s="9" t="s">
        <v>81</v>
      </c>
      <c r="G103" s="9" t="s">
        <v>82</v>
      </c>
      <c r="H103" s="9" t="s">
        <v>258</v>
      </c>
      <c r="I103" s="9" t="s">
        <v>8</v>
      </c>
      <c r="J103" s="9" t="s">
        <v>255</v>
      </c>
      <c r="K103" s="9" t="s">
        <v>241</v>
      </c>
      <c r="L103" s="11" t="s">
        <v>261</v>
      </c>
      <c r="M103" s="46" t="s">
        <v>229</v>
      </c>
      <c r="N103" s="11" t="s">
        <v>35</v>
      </c>
      <c r="O103" s="11" t="s">
        <v>64</v>
      </c>
      <c r="P103" s="9" t="s">
        <v>223</v>
      </c>
      <c r="Q103" s="9" t="s">
        <v>43</v>
      </c>
      <c r="R103" s="12">
        <f>1+1</f>
        <v>2</v>
      </c>
      <c r="S103" s="43">
        <v>46023</v>
      </c>
      <c r="T103" s="43" t="s">
        <v>285</v>
      </c>
      <c r="U103" s="43" t="s">
        <v>285</v>
      </c>
      <c r="V103" s="43">
        <v>46752</v>
      </c>
      <c r="W103" s="91">
        <f>55524+110000-85524</f>
        <v>80000</v>
      </c>
      <c r="X103" s="47">
        <v>69524</v>
      </c>
      <c r="Y103" s="57" t="s">
        <v>590</v>
      </c>
      <c r="Z103" s="58" t="s">
        <v>688</v>
      </c>
    </row>
    <row r="104" spans="2:26" ht="39.950000000000003" customHeight="1" x14ac:dyDescent="0.2">
      <c r="B104" s="44" t="s">
        <v>379</v>
      </c>
      <c r="C104" s="45" t="s">
        <v>38</v>
      </c>
      <c r="D104" s="11" t="s">
        <v>15</v>
      </c>
      <c r="E104" s="11" t="s">
        <v>30</v>
      </c>
      <c r="F104" s="9" t="s">
        <v>188</v>
      </c>
      <c r="G104" s="9" t="s">
        <v>189</v>
      </c>
      <c r="H104" s="9" t="s">
        <v>258</v>
      </c>
      <c r="I104" s="9" t="s">
        <v>8</v>
      </c>
      <c r="J104" s="9" t="s">
        <v>255</v>
      </c>
      <c r="K104" s="9" t="s">
        <v>242</v>
      </c>
      <c r="L104" s="11" t="s">
        <v>261</v>
      </c>
      <c r="M104" s="46" t="s">
        <v>229</v>
      </c>
      <c r="N104" s="11" t="s">
        <v>60</v>
      </c>
      <c r="O104" s="11" t="s">
        <v>66</v>
      </c>
      <c r="P104" s="9" t="s">
        <v>190</v>
      </c>
      <c r="Q104" s="9" t="s">
        <v>51</v>
      </c>
      <c r="R104" s="12">
        <v>1</v>
      </c>
      <c r="S104" s="43">
        <v>45317</v>
      </c>
      <c r="T104" s="43" t="s">
        <v>285</v>
      </c>
      <c r="U104" s="43">
        <v>45992</v>
      </c>
      <c r="V104" s="43">
        <v>46412</v>
      </c>
      <c r="W104" s="91">
        <f>684312-240240</f>
        <v>444072</v>
      </c>
      <c r="X104" s="47">
        <v>47333.816666666666</v>
      </c>
      <c r="Y104" s="58" t="s">
        <v>202</v>
      </c>
      <c r="Z104" s="58" t="s">
        <v>484</v>
      </c>
    </row>
    <row r="105" spans="2:26" ht="39.950000000000003" customHeight="1" x14ac:dyDescent="0.2">
      <c r="B105" s="44" t="s">
        <v>380</v>
      </c>
      <c r="C105" s="45" t="s">
        <v>38</v>
      </c>
      <c r="D105" s="11" t="s">
        <v>16</v>
      </c>
      <c r="E105" s="11" t="s">
        <v>16</v>
      </c>
      <c r="F105" s="9" t="s">
        <v>188</v>
      </c>
      <c r="G105" s="9" t="s">
        <v>76</v>
      </c>
      <c r="H105" s="9" t="s">
        <v>258</v>
      </c>
      <c r="I105" s="9" t="s">
        <v>8</v>
      </c>
      <c r="J105" s="9" t="s">
        <v>254</v>
      </c>
      <c r="K105" s="9" t="s">
        <v>250</v>
      </c>
      <c r="L105" s="11" t="s">
        <v>261</v>
      </c>
      <c r="M105" s="46" t="s">
        <v>229</v>
      </c>
      <c r="N105" s="11" t="s">
        <v>37</v>
      </c>
      <c r="O105" s="11" t="s">
        <v>69</v>
      </c>
      <c r="P105" s="9" t="s">
        <v>191</v>
      </c>
      <c r="Q105" s="9" t="s">
        <v>53</v>
      </c>
      <c r="R105" s="10">
        <f>W105</f>
        <v>1200</v>
      </c>
      <c r="S105" s="43">
        <v>46023</v>
      </c>
      <c r="T105" s="43" t="s">
        <v>285</v>
      </c>
      <c r="U105" s="43" t="s">
        <v>285</v>
      </c>
      <c r="V105" s="43" t="s">
        <v>285</v>
      </c>
      <c r="W105" s="91">
        <v>1200</v>
      </c>
      <c r="X105" s="47">
        <v>0</v>
      </c>
      <c r="Y105" s="57" t="s">
        <v>72</v>
      </c>
      <c r="Z105" s="57" t="s">
        <v>448</v>
      </c>
    </row>
    <row r="106" spans="2:26" ht="39.950000000000003" customHeight="1" x14ac:dyDescent="0.2">
      <c r="B106" s="48" t="s">
        <v>381</v>
      </c>
      <c r="C106" s="49" t="s">
        <v>38</v>
      </c>
      <c r="D106" s="50" t="s">
        <v>22</v>
      </c>
      <c r="E106" s="50" t="s">
        <v>32</v>
      </c>
      <c r="F106" s="51" t="s">
        <v>188</v>
      </c>
      <c r="G106" s="51" t="s">
        <v>193</v>
      </c>
      <c r="H106" s="51" t="s">
        <v>258</v>
      </c>
      <c r="I106" s="51" t="s">
        <v>8</v>
      </c>
      <c r="J106" s="51" t="s">
        <v>255</v>
      </c>
      <c r="K106" s="51" t="s">
        <v>245</v>
      </c>
      <c r="L106" s="50" t="s">
        <v>261</v>
      </c>
      <c r="M106" s="52" t="s">
        <v>229</v>
      </c>
      <c r="N106" s="50" t="s">
        <v>34</v>
      </c>
      <c r="O106" s="50" t="s">
        <v>68</v>
      </c>
      <c r="P106" s="51" t="s">
        <v>194</v>
      </c>
      <c r="Q106" s="51" t="s">
        <v>53</v>
      </c>
      <c r="R106" s="53">
        <f>W106</f>
        <v>0</v>
      </c>
      <c r="S106" s="54">
        <v>46082</v>
      </c>
      <c r="T106" s="54" t="s">
        <v>285</v>
      </c>
      <c r="U106" s="54" t="s">
        <v>285</v>
      </c>
      <c r="V106" s="54" t="s">
        <v>285</v>
      </c>
      <c r="W106" s="92">
        <f>20000-20000</f>
        <v>0</v>
      </c>
      <c r="X106" s="55">
        <v>0</v>
      </c>
      <c r="Y106" s="62" t="s">
        <v>72</v>
      </c>
      <c r="Z106" s="57" t="s">
        <v>455</v>
      </c>
    </row>
    <row r="107" spans="2:26" ht="39.950000000000003" customHeight="1" x14ac:dyDescent="0.2">
      <c r="B107" s="44" t="s">
        <v>382</v>
      </c>
      <c r="C107" s="45" t="s">
        <v>38</v>
      </c>
      <c r="D107" s="11" t="s">
        <v>22</v>
      </c>
      <c r="E107" s="11" t="s">
        <v>31</v>
      </c>
      <c r="F107" s="9" t="s">
        <v>188</v>
      </c>
      <c r="G107" s="9" t="s">
        <v>192</v>
      </c>
      <c r="H107" s="9" t="s">
        <v>258</v>
      </c>
      <c r="I107" s="9" t="s">
        <v>8</v>
      </c>
      <c r="J107" s="9" t="s">
        <v>255</v>
      </c>
      <c r="K107" s="9" t="s">
        <v>242</v>
      </c>
      <c r="L107" s="11" t="s">
        <v>261</v>
      </c>
      <c r="M107" s="46" t="s">
        <v>229</v>
      </c>
      <c r="N107" s="11" t="s">
        <v>35</v>
      </c>
      <c r="O107" s="11" t="s">
        <v>66</v>
      </c>
      <c r="P107" s="9" t="s">
        <v>195</v>
      </c>
      <c r="Q107" s="9" t="s">
        <v>51</v>
      </c>
      <c r="R107" s="12">
        <v>1</v>
      </c>
      <c r="S107" s="43">
        <v>46023</v>
      </c>
      <c r="T107" s="43" t="s">
        <v>285</v>
      </c>
      <c r="U107" s="43" t="s">
        <v>285</v>
      </c>
      <c r="V107" s="43">
        <v>46387</v>
      </c>
      <c r="W107" s="91">
        <v>3000</v>
      </c>
      <c r="X107" s="47">
        <v>0</v>
      </c>
      <c r="Y107" s="57" t="s">
        <v>72</v>
      </c>
      <c r="Z107" s="57"/>
    </row>
    <row r="108" spans="2:26" ht="39.950000000000003" customHeight="1" x14ac:dyDescent="0.2">
      <c r="B108" s="44" t="s">
        <v>383</v>
      </c>
      <c r="C108" s="45" t="s">
        <v>38</v>
      </c>
      <c r="D108" s="11" t="s">
        <v>26</v>
      </c>
      <c r="E108" s="11" t="s">
        <v>26</v>
      </c>
      <c r="F108" s="9" t="s">
        <v>196</v>
      </c>
      <c r="G108" s="9" t="s">
        <v>77</v>
      </c>
      <c r="H108" s="9" t="s">
        <v>258</v>
      </c>
      <c r="I108" s="9" t="s">
        <v>8</v>
      </c>
      <c r="J108" s="9" t="s">
        <v>255</v>
      </c>
      <c r="K108" s="9" t="s">
        <v>251</v>
      </c>
      <c r="L108" s="11" t="s">
        <v>261</v>
      </c>
      <c r="M108" s="46" t="s">
        <v>229</v>
      </c>
      <c r="N108" s="11" t="s">
        <v>60</v>
      </c>
      <c r="O108" s="11" t="s">
        <v>69</v>
      </c>
      <c r="P108" s="9" t="s">
        <v>197</v>
      </c>
      <c r="Q108" s="9" t="s">
        <v>51</v>
      </c>
      <c r="R108" s="12">
        <v>1</v>
      </c>
      <c r="S108" s="43">
        <v>45597</v>
      </c>
      <c r="T108" s="43" t="s">
        <v>285</v>
      </c>
      <c r="U108" s="43" t="s">
        <v>285</v>
      </c>
      <c r="V108" s="43">
        <v>47421</v>
      </c>
      <c r="W108" s="91">
        <v>297984</v>
      </c>
      <c r="X108" s="47">
        <v>948150</v>
      </c>
      <c r="Y108" s="57" t="s">
        <v>474</v>
      </c>
      <c r="Z108" s="57"/>
    </row>
    <row r="109" spans="2:26" ht="39.950000000000003" customHeight="1" x14ac:dyDescent="0.2">
      <c r="B109" s="44" t="s">
        <v>384</v>
      </c>
      <c r="C109" s="45" t="s">
        <v>38</v>
      </c>
      <c r="D109" s="11" t="s">
        <v>26</v>
      </c>
      <c r="E109" s="11" t="s">
        <v>26</v>
      </c>
      <c r="F109" s="9" t="s">
        <v>196</v>
      </c>
      <c r="G109" s="9" t="s">
        <v>76</v>
      </c>
      <c r="H109" s="9" t="s">
        <v>258</v>
      </c>
      <c r="I109" s="9" t="s">
        <v>8</v>
      </c>
      <c r="J109" s="9" t="s">
        <v>255</v>
      </c>
      <c r="K109" s="9" t="s">
        <v>244</v>
      </c>
      <c r="L109" s="11" t="s">
        <v>261</v>
      </c>
      <c r="M109" s="46" t="s">
        <v>229</v>
      </c>
      <c r="N109" s="11" t="s">
        <v>60</v>
      </c>
      <c r="O109" s="11" t="s">
        <v>69</v>
      </c>
      <c r="P109" s="9" t="s">
        <v>198</v>
      </c>
      <c r="Q109" s="9" t="s">
        <v>51</v>
      </c>
      <c r="R109" s="12">
        <v>1</v>
      </c>
      <c r="S109" s="43">
        <v>45597</v>
      </c>
      <c r="T109" s="43" t="s">
        <v>285</v>
      </c>
      <c r="U109" s="43" t="s">
        <v>285</v>
      </c>
      <c r="V109" s="43">
        <v>47421</v>
      </c>
      <c r="W109" s="91">
        <v>17028</v>
      </c>
      <c r="X109" s="47">
        <v>54180</v>
      </c>
      <c r="Y109" s="57" t="s">
        <v>474</v>
      </c>
      <c r="Z109" s="57"/>
    </row>
    <row r="110" spans="2:26" ht="39.950000000000003" customHeight="1" x14ac:dyDescent="0.2">
      <c r="B110" s="44" t="s">
        <v>385</v>
      </c>
      <c r="C110" s="45" t="s">
        <v>38</v>
      </c>
      <c r="D110" s="11" t="s">
        <v>26</v>
      </c>
      <c r="E110" s="11" t="s">
        <v>26</v>
      </c>
      <c r="F110" s="9" t="s">
        <v>196</v>
      </c>
      <c r="G110" s="9" t="s">
        <v>77</v>
      </c>
      <c r="H110" s="9" t="s">
        <v>258</v>
      </c>
      <c r="I110" s="9" t="s">
        <v>8</v>
      </c>
      <c r="J110" s="9" t="s">
        <v>255</v>
      </c>
      <c r="K110" s="9" t="s">
        <v>251</v>
      </c>
      <c r="L110" s="11" t="s">
        <v>261</v>
      </c>
      <c r="M110" s="46" t="s">
        <v>229</v>
      </c>
      <c r="N110" s="11" t="s">
        <v>34</v>
      </c>
      <c r="O110" s="11" t="s">
        <v>69</v>
      </c>
      <c r="P110" s="9" t="s">
        <v>199</v>
      </c>
      <c r="Q110" s="9" t="s">
        <v>51</v>
      </c>
      <c r="R110" s="12">
        <v>1</v>
      </c>
      <c r="S110" s="43">
        <v>46023</v>
      </c>
      <c r="T110" s="43" t="s">
        <v>285</v>
      </c>
      <c r="U110" s="43" t="s">
        <v>285</v>
      </c>
      <c r="V110" s="43" t="s">
        <v>285</v>
      </c>
      <c r="W110" s="91">
        <v>9000</v>
      </c>
      <c r="X110" s="47">
        <v>0</v>
      </c>
      <c r="Y110" s="57" t="s">
        <v>184</v>
      </c>
      <c r="Z110" s="57"/>
    </row>
    <row r="111" spans="2:26" ht="39.950000000000003" customHeight="1" x14ac:dyDescent="0.2">
      <c r="B111" s="44" t="s">
        <v>386</v>
      </c>
      <c r="C111" s="45" t="s">
        <v>38</v>
      </c>
      <c r="D111" s="11" t="s">
        <v>237</v>
      </c>
      <c r="E111" s="11" t="s">
        <v>237</v>
      </c>
      <c r="F111" s="9" t="s">
        <v>188</v>
      </c>
      <c r="G111" s="9" t="s">
        <v>434</v>
      </c>
      <c r="H111" s="9" t="s">
        <v>258</v>
      </c>
      <c r="I111" s="9" t="s">
        <v>8</v>
      </c>
      <c r="J111" s="9" t="s">
        <v>255</v>
      </c>
      <c r="K111" s="9" t="s">
        <v>246</v>
      </c>
      <c r="L111" s="11" t="s">
        <v>261</v>
      </c>
      <c r="M111" s="46" t="s">
        <v>229</v>
      </c>
      <c r="N111" s="11" t="s">
        <v>60</v>
      </c>
      <c r="O111" s="11" t="s">
        <v>65</v>
      </c>
      <c r="P111" s="9" t="s">
        <v>435</v>
      </c>
      <c r="Q111" s="9" t="s">
        <v>47</v>
      </c>
      <c r="R111" s="12">
        <v>12</v>
      </c>
      <c r="S111" s="43">
        <v>45807</v>
      </c>
      <c r="T111" s="43" t="s">
        <v>285</v>
      </c>
      <c r="U111" s="43">
        <v>45809</v>
      </c>
      <c r="V111" s="43">
        <v>46537</v>
      </c>
      <c r="W111" s="91">
        <v>453863</v>
      </c>
      <c r="X111" s="47">
        <v>192935</v>
      </c>
      <c r="Y111" s="57" t="s">
        <v>203</v>
      </c>
      <c r="Z111" s="57"/>
    </row>
    <row r="112" spans="2:26" ht="88.5" customHeight="1" x14ac:dyDescent="0.2">
      <c r="B112" s="44" t="s">
        <v>387</v>
      </c>
      <c r="C112" s="45" t="s">
        <v>38</v>
      </c>
      <c r="D112" s="11" t="s">
        <v>237</v>
      </c>
      <c r="E112" s="11" t="s">
        <v>237</v>
      </c>
      <c r="F112" s="11" t="s">
        <v>188</v>
      </c>
      <c r="G112" s="9" t="s">
        <v>434</v>
      </c>
      <c r="H112" s="11" t="s">
        <v>260</v>
      </c>
      <c r="I112" s="11" t="s">
        <v>9</v>
      </c>
      <c r="J112" s="9" t="s">
        <v>255</v>
      </c>
      <c r="K112" s="11" t="s">
        <v>246</v>
      </c>
      <c r="L112" s="11" t="s">
        <v>261</v>
      </c>
      <c r="M112" s="46" t="s">
        <v>230</v>
      </c>
      <c r="N112" s="11" t="s">
        <v>60</v>
      </c>
      <c r="O112" s="11" t="s">
        <v>65</v>
      </c>
      <c r="P112" s="9" t="s">
        <v>436</v>
      </c>
      <c r="Q112" s="9" t="s">
        <v>47</v>
      </c>
      <c r="R112" s="12">
        <v>12</v>
      </c>
      <c r="S112" s="43">
        <v>45807</v>
      </c>
      <c r="T112" s="43" t="s">
        <v>285</v>
      </c>
      <c r="U112" s="43">
        <v>45809</v>
      </c>
      <c r="V112" s="43">
        <v>46537</v>
      </c>
      <c r="W112" s="91">
        <v>588875</v>
      </c>
      <c r="X112" s="47">
        <v>250000</v>
      </c>
      <c r="Y112" s="57" t="s">
        <v>203</v>
      </c>
      <c r="Z112" s="57"/>
    </row>
    <row r="113" spans="2:26" ht="39.950000000000003" customHeight="1" x14ac:dyDescent="0.2">
      <c r="B113" s="44" t="s">
        <v>388</v>
      </c>
      <c r="C113" s="45" t="s">
        <v>38</v>
      </c>
      <c r="D113" s="11" t="s">
        <v>237</v>
      </c>
      <c r="E113" s="11" t="s">
        <v>237</v>
      </c>
      <c r="F113" s="9" t="s">
        <v>188</v>
      </c>
      <c r="G113" s="9" t="s">
        <v>434</v>
      </c>
      <c r="H113" s="9" t="s">
        <v>258</v>
      </c>
      <c r="I113" s="9" t="s">
        <v>8</v>
      </c>
      <c r="J113" s="9" t="s">
        <v>255</v>
      </c>
      <c r="K113" s="9" t="s">
        <v>246</v>
      </c>
      <c r="L113" s="11" t="s">
        <v>261</v>
      </c>
      <c r="M113" s="46" t="s">
        <v>229</v>
      </c>
      <c r="N113" s="11" t="s">
        <v>60</v>
      </c>
      <c r="O113" s="11" t="s">
        <v>65</v>
      </c>
      <c r="P113" s="9" t="s">
        <v>435</v>
      </c>
      <c r="Q113" s="9" t="s">
        <v>47</v>
      </c>
      <c r="R113" s="12">
        <v>12</v>
      </c>
      <c r="S113" s="43">
        <v>45722</v>
      </c>
      <c r="T113" s="43" t="s">
        <v>285</v>
      </c>
      <c r="U113" s="43">
        <v>46075</v>
      </c>
      <c r="V113" s="43">
        <v>46452</v>
      </c>
      <c r="W113" s="91">
        <v>891500</v>
      </c>
      <c r="X113" s="47">
        <v>149000</v>
      </c>
      <c r="Y113" s="57" t="s">
        <v>203</v>
      </c>
      <c r="Z113" s="57"/>
    </row>
    <row r="114" spans="2:26" ht="39.950000000000003" customHeight="1" x14ac:dyDescent="0.2">
      <c r="B114" s="44" t="s">
        <v>389</v>
      </c>
      <c r="C114" s="45" t="s">
        <v>38</v>
      </c>
      <c r="D114" s="11" t="s">
        <v>237</v>
      </c>
      <c r="E114" s="11" t="s">
        <v>237</v>
      </c>
      <c r="F114" s="9" t="s">
        <v>188</v>
      </c>
      <c r="G114" s="9" t="s">
        <v>434</v>
      </c>
      <c r="H114" s="9" t="s">
        <v>258</v>
      </c>
      <c r="I114" s="9" t="s">
        <v>8</v>
      </c>
      <c r="J114" s="9" t="s">
        <v>255</v>
      </c>
      <c r="K114" s="9" t="s">
        <v>246</v>
      </c>
      <c r="L114" s="11" t="s">
        <v>261</v>
      </c>
      <c r="M114" s="46" t="s">
        <v>229</v>
      </c>
      <c r="N114" s="11" t="s">
        <v>60</v>
      </c>
      <c r="O114" s="11" t="s">
        <v>65</v>
      </c>
      <c r="P114" s="9" t="s">
        <v>437</v>
      </c>
      <c r="Q114" s="9" t="s">
        <v>52</v>
      </c>
      <c r="R114" s="12">
        <v>837.62</v>
      </c>
      <c r="S114" s="43">
        <v>45722</v>
      </c>
      <c r="T114" s="43" t="s">
        <v>285</v>
      </c>
      <c r="U114" s="43">
        <v>46075</v>
      </c>
      <c r="V114" s="43">
        <v>46452</v>
      </c>
      <c r="W114" s="91">
        <v>282000</v>
      </c>
      <c r="X114" s="47">
        <v>0</v>
      </c>
      <c r="Y114" s="57" t="s">
        <v>203</v>
      </c>
      <c r="Z114" s="57"/>
    </row>
    <row r="115" spans="2:26" ht="72" customHeight="1" x14ac:dyDescent="0.2">
      <c r="B115" s="44" t="s">
        <v>390</v>
      </c>
      <c r="C115" s="45" t="s">
        <v>38</v>
      </c>
      <c r="D115" s="11" t="s">
        <v>237</v>
      </c>
      <c r="E115" s="11" t="s">
        <v>237</v>
      </c>
      <c r="F115" s="11" t="s">
        <v>188</v>
      </c>
      <c r="G115" s="11" t="s">
        <v>200</v>
      </c>
      <c r="H115" s="11" t="s">
        <v>260</v>
      </c>
      <c r="I115" s="11" t="s">
        <v>9</v>
      </c>
      <c r="J115" s="9" t="s">
        <v>255</v>
      </c>
      <c r="K115" s="11" t="s">
        <v>246</v>
      </c>
      <c r="L115" s="11" t="s">
        <v>261</v>
      </c>
      <c r="M115" s="46" t="s">
        <v>230</v>
      </c>
      <c r="N115" s="11" t="s">
        <v>60</v>
      </c>
      <c r="O115" s="11" t="s">
        <v>66</v>
      </c>
      <c r="P115" s="9" t="s">
        <v>201</v>
      </c>
      <c r="Q115" s="9" t="s">
        <v>53</v>
      </c>
      <c r="R115" s="10">
        <f>W115</f>
        <v>1573721.7999999998</v>
      </c>
      <c r="S115" s="43">
        <v>45809</v>
      </c>
      <c r="T115" s="43" t="s">
        <v>285</v>
      </c>
      <c r="U115" s="43" t="s">
        <v>285</v>
      </c>
      <c r="V115" s="43">
        <v>47634</v>
      </c>
      <c r="W115" s="91">
        <f>4038307-2464585.2</f>
        <v>1573721.7999999998</v>
      </c>
      <c r="X115" s="47">
        <v>1686869.84</v>
      </c>
      <c r="Y115" s="57" t="s">
        <v>478</v>
      </c>
      <c r="Z115" s="57" t="s">
        <v>449</v>
      </c>
    </row>
    <row r="116" spans="2:26" ht="72" x14ac:dyDescent="0.2">
      <c r="B116" s="44" t="s">
        <v>391</v>
      </c>
      <c r="C116" s="45" t="s">
        <v>38</v>
      </c>
      <c r="D116" s="11" t="s">
        <v>237</v>
      </c>
      <c r="E116" s="11" t="s">
        <v>237</v>
      </c>
      <c r="F116" s="11" t="s">
        <v>188</v>
      </c>
      <c r="G116" s="11" t="s">
        <v>200</v>
      </c>
      <c r="H116" s="11" t="s">
        <v>260</v>
      </c>
      <c r="I116" s="11" t="s">
        <v>9</v>
      </c>
      <c r="J116" s="9" t="s">
        <v>255</v>
      </c>
      <c r="K116" s="11" t="s">
        <v>246</v>
      </c>
      <c r="L116" s="11" t="s">
        <v>261</v>
      </c>
      <c r="M116" s="46" t="s">
        <v>234</v>
      </c>
      <c r="N116" s="11" t="s">
        <v>60</v>
      </c>
      <c r="O116" s="11" t="s">
        <v>66</v>
      </c>
      <c r="P116" s="9" t="s">
        <v>201</v>
      </c>
      <c r="Q116" s="9" t="s">
        <v>53</v>
      </c>
      <c r="R116" s="10">
        <f>W116</f>
        <v>5000000</v>
      </c>
      <c r="S116" s="43">
        <v>45809</v>
      </c>
      <c r="T116" s="43" t="s">
        <v>285</v>
      </c>
      <c r="U116" s="43" t="s">
        <v>285</v>
      </c>
      <c r="V116" s="43">
        <v>47634</v>
      </c>
      <c r="W116" s="91">
        <v>5000000</v>
      </c>
      <c r="X116" s="47">
        <v>0</v>
      </c>
      <c r="Y116" s="57" t="s">
        <v>478</v>
      </c>
      <c r="Z116" s="57"/>
    </row>
    <row r="117" spans="2:26" ht="24" x14ac:dyDescent="0.2">
      <c r="B117" s="44" t="s">
        <v>392</v>
      </c>
      <c r="C117" s="45" t="s">
        <v>39</v>
      </c>
      <c r="D117" s="11" t="s">
        <v>24</v>
      </c>
      <c r="E117" s="11" t="s">
        <v>24</v>
      </c>
      <c r="F117" s="9" t="s">
        <v>81</v>
      </c>
      <c r="G117" s="9" t="s">
        <v>82</v>
      </c>
      <c r="H117" s="9" t="s">
        <v>258</v>
      </c>
      <c r="I117" s="9" t="s">
        <v>8</v>
      </c>
      <c r="J117" s="9" t="s">
        <v>255</v>
      </c>
      <c r="K117" s="9" t="s">
        <v>241</v>
      </c>
      <c r="L117" s="11" t="s">
        <v>261</v>
      </c>
      <c r="M117" s="46" t="s">
        <v>229</v>
      </c>
      <c r="N117" s="11" t="s">
        <v>60</v>
      </c>
      <c r="O117" s="11" t="s">
        <v>64</v>
      </c>
      <c r="P117" s="9" t="s">
        <v>207</v>
      </c>
      <c r="Q117" s="9" t="s">
        <v>43</v>
      </c>
      <c r="R117" s="12">
        <v>4</v>
      </c>
      <c r="S117" s="43">
        <v>45732</v>
      </c>
      <c r="T117" s="43">
        <v>46097</v>
      </c>
      <c r="U117" s="43" t="s">
        <v>285</v>
      </c>
      <c r="V117" s="43">
        <v>46096</v>
      </c>
      <c r="W117" s="91">
        <v>343620</v>
      </c>
      <c r="X117" s="47">
        <v>0</v>
      </c>
      <c r="Y117" s="9" t="s">
        <v>590</v>
      </c>
      <c r="Z117" s="9"/>
    </row>
    <row r="118" spans="2:26" ht="24" x14ac:dyDescent="0.2">
      <c r="B118" s="44" t="s">
        <v>393</v>
      </c>
      <c r="C118" s="45" t="s">
        <v>39</v>
      </c>
      <c r="D118" s="11" t="s">
        <v>24</v>
      </c>
      <c r="E118" s="11" t="s">
        <v>24</v>
      </c>
      <c r="F118" s="9" t="s">
        <v>81</v>
      </c>
      <c r="G118" s="9" t="s">
        <v>206</v>
      </c>
      <c r="H118" s="9" t="s">
        <v>258</v>
      </c>
      <c r="I118" s="9" t="s">
        <v>8</v>
      </c>
      <c r="J118" s="9" t="s">
        <v>255</v>
      </c>
      <c r="K118" s="9" t="s">
        <v>241</v>
      </c>
      <c r="L118" s="11" t="s">
        <v>261</v>
      </c>
      <c r="M118" s="46" t="s">
        <v>229</v>
      </c>
      <c r="N118" s="11" t="s">
        <v>34</v>
      </c>
      <c r="O118" s="11" t="s">
        <v>68</v>
      </c>
      <c r="P118" s="9" t="s">
        <v>589</v>
      </c>
      <c r="Q118" s="9" t="s">
        <v>53</v>
      </c>
      <c r="R118" s="10">
        <f>W118</f>
        <v>1500</v>
      </c>
      <c r="S118" s="43">
        <v>46082</v>
      </c>
      <c r="T118" s="43" t="s">
        <v>285</v>
      </c>
      <c r="U118" s="43" t="s">
        <v>285</v>
      </c>
      <c r="V118" s="43">
        <v>46113</v>
      </c>
      <c r="W118" s="91">
        <v>1500</v>
      </c>
      <c r="X118" s="47">
        <v>0</v>
      </c>
      <c r="Y118" s="9" t="s">
        <v>222</v>
      </c>
      <c r="Z118" s="9"/>
    </row>
    <row r="119" spans="2:26" ht="24" x14ac:dyDescent="0.2">
      <c r="B119" s="48" t="s">
        <v>394</v>
      </c>
      <c r="C119" s="49" t="s">
        <v>39</v>
      </c>
      <c r="D119" s="50" t="s">
        <v>24</v>
      </c>
      <c r="E119" s="50" t="s">
        <v>24</v>
      </c>
      <c r="F119" s="51" t="s">
        <v>81</v>
      </c>
      <c r="G119" s="51" t="s">
        <v>206</v>
      </c>
      <c r="H119" s="51" t="s">
        <v>258</v>
      </c>
      <c r="I119" s="51" t="s">
        <v>8</v>
      </c>
      <c r="J119" s="51" t="s">
        <v>255</v>
      </c>
      <c r="K119" s="51" t="s">
        <v>246</v>
      </c>
      <c r="L119" s="50" t="s">
        <v>261</v>
      </c>
      <c r="M119" s="52" t="s">
        <v>229</v>
      </c>
      <c r="N119" s="50" t="s">
        <v>35</v>
      </c>
      <c r="O119" s="50" t="s">
        <v>68</v>
      </c>
      <c r="P119" s="51" t="s">
        <v>208</v>
      </c>
      <c r="Q119" s="51" t="s">
        <v>41</v>
      </c>
      <c r="R119" s="60">
        <v>2</v>
      </c>
      <c r="S119" s="54">
        <v>46023</v>
      </c>
      <c r="T119" s="54" t="s">
        <v>285</v>
      </c>
      <c r="U119" s="54" t="s">
        <v>285</v>
      </c>
      <c r="V119" s="54">
        <v>46357</v>
      </c>
      <c r="W119" s="92">
        <f>3540-3540</f>
        <v>0</v>
      </c>
      <c r="X119" s="55">
        <v>0</v>
      </c>
      <c r="Y119" s="51" t="s">
        <v>72</v>
      </c>
      <c r="Z119" s="58" t="s">
        <v>602</v>
      </c>
    </row>
    <row r="120" spans="2:26" ht="24" x14ac:dyDescent="0.2">
      <c r="B120" s="48" t="s">
        <v>395</v>
      </c>
      <c r="C120" s="49" t="s">
        <v>39</v>
      </c>
      <c r="D120" s="50" t="s">
        <v>24</v>
      </c>
      <c r="E120" s="50" t="s">
        <v>24</v>
      </c>
      <c r="F120" s="51" t="s">
        <v>81</v>
      </c>
      <c r="G120" s="51" t="s">
        <v>206</v>
      </c>
      <c r="H120" s="51" t="s">
        <v>258</v>
      </c>
      <c r="I120" s="51" t="s">
        <v>8</v>
      </c>
      <c r="J120" s="51" t="s">
        <v>255</v>
      </c>
      <c r="K120" s="51" t="s">
        <v>246</v>
      </c>
      <c r="L120" s="50" t="s">
        <v>261</v>
      </c>
      <c r="M120" s="52" t="s">
        <v>229</v>
      </c>
      <c r="N120" s="50" t="s">
        <v>35</v>
      </c>
      <c r="O120" s="50" t="s">
        <v>68</v>
      </c>
      <c r="P120" s="51" t="s">
        <v>209</v>
      </c>
      <c r="Q120" s="51" t="s">
        <v>41</v>
      </c>
      <c r="R120" s="60">
        <v>4</v>
      </c>
      <c r="S120" s="54">
        <v>46023</v>
      </c>
      <c r="T120" s="54" t="s">
        <v>285</v>
      </c>
      <c r="U120" s="54" t="s">
        <v>285</v>
      </c>
      <c r="V120" s="54">
        <v>46357</v>
      </c>
      <c r="W120" s="92">
        <f>26400-26400</f>
        <v>0</v>
      </c>
      <c r="X120" s="55">
        <v>0</v>
      </c>
      <c r="Y120" s="51" t="s">
        <v>72</v>
      </c>
      <c r="Z120" s="58" t="s">
        <v>602</v>
      </c>
    </row>
    <row r="121" spans="2:26" ht="24" x14ac:dyDescent="0.2">
      <c r="B121" s="48" t="s">
        <v>396</v>
      </c>
      <c r="C121" s="49" t="s">
        <v>39</v>
      </c>
      <c r="D121" s="50" t="s">
        <v>24</v>
      </c>
      <c r="E121" s="50" t="s">
        <v>24</v>
      </c>
      <c r="F121" s="51" t="s">
        <v>81</v>
      </c>
      <c r="G121" s="51" t="s">
        <v>206</v>
      </c>
      <c r="H121" s="51" t="s">
        <v>258</v>
      </c>
      <c r="I121" s="51" t="s">
        <v>8</v>
      </c>
      <c r="J121" s="51" t="s">
        <v>255</v>
      </c>
      <c r="K121" s="51" t="s">
        <v>246</v>
      </c>
      <c r="L121" s="50" t="s">
        <v>261</v>
      </c>
      <c r="M121" s="52" t="s">
        <v>229</v>
      </c>
      <c r="N121" s="50" t="s">
        <v>35</v>
      </c>
      <c r="O121" s="50" t="s">
        <v>68</v>
      </c>
      <c r="P121" s="51" t="s">
        <v>210</v>
      </c>
      <c r="Q121" s="51" t="s">
        <v>41</v>
      </c>
      <c r="R121" s="53">
        <v>16</v>
      </c>
      <c r="S121" s="54">
        <v>46023</v>
      </c>
      <c r="T121" s="54" t="s">
        <v>285</v>
      </c>
      <c r="U121" s="54" t="s">
        <v>285</v>
      </c>
      <c r="V121" s="54">
        <v>46357</v>
      </c>
      <c r="W121" s="92">
        <f>21600-21600</f>
        <v>0</v>
      </c>
      <c r="X121" s="55">
        <v>0</v>
      </c>
      <c r="Y121" s="51" t="s">
        <v>72</v>
      </c>
      <c r="Z121" s="58" t="s">
        <v>602</v>
      </c>
    </row>
    <row r="122" spans="2:26" ht="24" x14ac:dyDescent="0.2">
      <c r="B122" s="48" t="s">
        <v>397</v>
      </c>
      <c r="C122" s="49" t="s">
        <v>39</v>
      </c>
      <c r="D122" s="50" t="s">
        <v>24</v>
      </c>
      <c r="E122" s="50" t="s">
        <v>24</v>
      </c>
      <c r="F122" s="51" t="s">
        <v>81</v>
      </c>
      <c r="G122" s="51" t="s">
        <v>206</v>
      </c>
      <c r="H122" s="51" t="s">
        <v>258</v>
      </c>
      <c r="I122" s="51" t="s">
        <v>8</v>
      </c>
      <c r="J122" s="51" t="s">
        <v>255</v>
      </c>
      <c r="K122" s="51" t="s">
        <v>246</v>
      </c>
      <c r="L122" s="50" t="s">
        <v>261</v>
      </c>
      <c r="M122" s="52" t="s">
        <v>229</v>
      </c>
      <c r="N122" s="50" t="s">
        <v>35</v>
      </c>
      <c r="O122" s="50" t="s">
        <v>68</v>
      </c>
      <c r="P122" s="51" t="s">
        <v>211</v>
      </c>
      <c r="Q122" s="51" t="s">
        <v>41</v>
      </c>
      <c r="R122" s="60">
        <v>3</v>
      </c>
      <c r="S122" s="54">
        <v>46327</v>
      </c>
      <c r="T122" s="54" t="s">
        <v>285</v>
      </c>
      <c r="U122" s="54" t="s">
        <v>285</v>
      </c>
      <c r="V122" s="54">
        <v>46357</v>
      </c>
      <c r="W122" s="92">
        <f>2730-2730</f>
        <v>0</v>
      </c>
      <c r="X122" s="55">
        <v>0</v>
      </c>
      <c r="Y122" s="51" t="s">
        <v>72</v>
      </c>
      <c r="Z122" s="58" t="s">
        <v>602</v>
      </c>
    </row>
    <row r="123" spans="2:26" ht="60" x14ac:dyDescent="0.2">
      <c r="B123" s="44" t="s">
        <v>398</v>
      </c>
      <c r="C123" s="45" t="s">
        <v>39</v>
      </c>
      <c r="D123" s="11" t="s">
        <v>24</v>
      </c>
      <c r="E123" s="11" t="s">
        <v>24</v>
      </c>
      <c r="F123" s="11" t="s">
        <v>81</v>
      </c>
      <c r="G123" s="11" t="s">
        <v>206</v>
      </c>
      <c r="H123" s="11" t="s">
        <v>260</v>
      </c>
      <c r="I123" s="11" t="s">
        <v>9</v>
      </c>
      <c r="J123" s="9" t="s">
        <v>255</v>
      </c>
      <c r="K123" s="11" t="s">
        <v>241</v>
      </c>
      <c r="L123" s="11" t="s">
        <v>261</v>
      </c>
      <c r="M123" s="46" t="s">
        <v>230</v>
      </c>
      <c r="N123" s="11" t="s">
        <v>60</v>
      </c>
      <c r="O123" s="11" t="s">
        <v>64</v>
      </c>
      <c r="P123" s="11" t="s">
        <v>588</v>
      </c>
      <c r="Q123" s="9" t="s">
        <v>53</v>
      </c>
      <c r="R123" s="10">
        <f>W123</f>
        <v>160000</v>
      </c>
      <c r="S123" s="43">
        <v>46082</v>
      </c>
      <c r="T123" s="43" t="s">
        <v>285</v>
      </c>
      <c r="U123" s="43" t="s">
        <v>285</v>
      </c>
      <c r="V123" s="43">
        <v>46357</v>
      </c>
      <c r="W123" s="91">
        <v>160000</v>
      </c>
      <c r="X123" s="47">
        <v>0</v>
      </c>
      <c r="Y123" s="9" t="s">
        <v>222</v>
      </c>
      <c r="Z123" s="9"/>
    </row>
    <row r="124" spans="2:26" ht="24" x14ac:dyDescent="0.2">
      <c r="B124" s="48" t="s">
        <v>399</v>
      </c>
      <c r="C124" s="49" t="s">
        <v>39</v>
      </c>
      <c r="D124" s="50" t="s">
        <v>24</v>
      </c>
      <c r="E124" s="50" t="s">
        <v>24</v>
      </c>
      <c r="F124" s="51" t="s">
        <v>81</v>
      </c>
      <c r="G124" s="51" t="s">
        <v>206</v>
      </c>
      <c r="H124" s="51" t="s">
        <v>258</v>
      </c>
      <c r="I124" s="51" t="s">
        <v>8</v>
      </c>
      <c r="J124" s="51" t="s">
        <v>255</v>
      </c>
      <c r="K124" s="51" t="s">
        <v>241</v>
      </c>
      <c r="L124" s="50" t="s">
        <v>261</v>
      </c>
      <c r="M124" s="52" t="s">
        <v>229</v>
      </c>
      <c r="N124" s="50" t="s">
        <v>58</v>
      </c>
      <c r="O124" s="50" t="s">
        <v>64</v>
      </c>
      <c r="P124" s="51" t="s">
        <v>212</v>
      </c>
      <c r="Q124" s="51" t="s">
        <v>53</v>
      </c>
      <c r="R124" s="53">
        <f>W124</f>
        <v>0</v>
      </c>
      <c r="S124" s="54">
        <v>45601</v>
      </c>
      <c r="T124" s="54" t="s">
        <v>285</v>
      </c>
      <c r="U124" s="54" t="s">
        <v>285</v>
      </c>
      <c r="V124" s="54">
        <v>46387</v>
      </c>
      <c r="W124" s="92">
        <f>113420-56970-56450</f>
        <v>0</v>
      </c>
      <c r="X124" s="55">
        <v>0</v>
      </c>
      <c r="Y124" s="62" t="s">
        <v>464</v>
      </c>
      <c r="Z124" s="11" t="s">
        <v>689</v>
      </c>
    </row>
    <row r="125" spans="2:26" ht="24" x14ac:dyDescent="0.2">
      <c r="B125" s="44" t="s">
        <v>400</v>
      </c>
      <c r="C125" s="45" t="s">
        <v>39</v>
      </c>
      <c r="D125" s="11" t="s">
        <v>25</v>
      </c>
      <c r="E125" s="11" t="s">
        <v>25</v>
      </c>
      <c r="F125" s="9" t="s">
        <v>79</v>
      </c>
      <c r="G125" s="9" t="s">
        <v>204</v>
      </c>
      <c r="H125" s="9" t="s">
        <v>258</v>
      </c>
      <c r="I125" s="9" t="s">
        <v>8</v>
      </c>
      <c r="J125" s="9" t="s">
        <v>255</v>
      </c>
      <c r="K125" s="9" t="s">
        <v>252</v>
      </c>
      <c r="L125" s="11" t="s">
        <v>261</v>
      </c>
      <c r="M125" s="46" t="s">
        <v>229</v>
      </c>
      <c r="N125" s="11" t="s">
        <v>35</v>
      </c>
      <c r="O125" s="11" t="s">
        <v>65</v>
      </c>
      <c r="P125" s="9" t="s">
        <v>213</v>
      </c>
      <c r="Q125" s="9" t="s">
        <v>45</v>
      </c>
      <c r="R125" s="12">
        <v>94</v>
      </c>
      <c r="S125" s="43">
        <v>46054</v>
      </c>
      <c r="T125" s="43" t="s">
        <v>285</v>
      </c>
      <c r="U125" s="43" t="s">
        <v>285</v>
      </c>
      <c r="V125" s="43">
        <v>46387</v>
      </c>
      <c r="W125" s="91">
        <f>45120-840</f>
        <v>44280</v>
      </c>
      <c r="X125" s="47">
        <v>0</v>
      </c>
      <c r="Y125" s="9" t="s">
        <v>72</v>
      </c>
      <c r="Z125" s="9" t="s">
        <v>742</v>
      </c>
    </row>
    <row r="126" spans="2:26" ht="24" x14ac:dyDescent="0.2">
      <c r="B126" s="44" t="s">
        <v>401</v>
      </c>
      <c r="C126" s="45" t="s">
        <v>39</v>
      </c>
      <c r="D126" s="11" t="s">
        <v>25</v>
      </c>
      <c r="E126" s="11" t="s">
        <v>25</v>
      </c>
      <c r="F126" s="9" t="s">
        <v>79</v>
      </c>
      <c r="G126" s="9" t="s">
        <v>204</v>
      </c>
      <c r="H126" s="9" t="s">
        <v>258</v>
      </c>
      <c r="I126" s="9" t="s">
        <v>8</v>
      </c>
      <c r="J126" s="9" t="s">
        <v>255</v>
      </c>
      <c r="K126" s="9" t="s">
        <v>252</v>
      </c>
      <c r="L126" s="11" t="s">
        <v>261</v>
      </c>
      <c r="M126" s="46" t="s">
        <v>229</v>
      </c>
      <c r="N126" s="11" t="s">
        <v>35</v>
      </c>
      <c r="O126" s="11" t="s">
        <v>65</v>
      </c>
      <c r="P126" s="9" t="s">
        <v>214</v>
      </c>
      <c r="Q126" s="9" t="s">
        <v>45</v>
      </c>
      <c r="R126" s="12">
        <v>17</v>
      </c>
      <c r="S126" s="43">
        <v>46054</v>
      </c>
      <c r="T126" s="43" t="s">
        <v>285</v>
      </c>
      <c r="U126" s="43" t="s">
        <v>285</v>
      </c>
      <c r="V126" s="43">
        <v>46387</v>
      </c>
      <c r="W126" s="91">
        <f>8160-2040</f>
        <v>6120</v>
      </c>
      <c r="X126" s="47">
        <v>0</v>
      </c>
      <c r="Y126" s="9" t="s">
        <v>72</v>
      </c>
      <c r="Z126" s="9" t="s">
        <v>742</v>
      </c>
    </row>
    <row r="127" spans="2:26" ht="24" x14ac:dyDescent="0.2">
      <c r="B127" s="44" t="s">
        <v>402</v>
      </c>
      <c r="C127" s="45" t="s">
        <v>39</v>
      </c>
      <c r="D127" s="11" t="s">
        <v>25</v>
      </c>
      <c r="E127" s="11" t="s">
        <v>25</v>
      </c>
      <c r="F127" s="9" t="s">
        <v>79</v>
      </c>
      <c r="G127" s="9" t="s">
        <v>204</v>
      </c>
      <c r="H127" s="9" t="s">
        <v>258</v>
      </c>
      <c r="I127" s="9" t="s">
        <v>8</v>
      </c>
      <c r="J127" s="9" t="s">
        <v>255</v>
      </c>
      <c r="K127" s="9" t="s">
        <v>253</v>
      </c>
      <c r="L127" s="11" t="s">
        <v>261</v>
      </c>
      <c r="M127" s="46" t="s">
        <v>229</v>
      </c>
      <c r="N127" s="11" t="s">
        <v>35</v>
      </c>
      <c r="O127" s="11" t="s">
        <v>65</v>
      </c>
      <c r="P127" s="9" t="s">
        <v>215</v>
      </c>
      <c r="Q127" s="9" t="s">
        <v>53</v>
      </c>
      <c r="R127" s="10">
        <f>W127</f>
        <v>10080</v>
      </c>
      <c r="S127" s="43">
        <v>46054</v>
      </c>
      <c r="T127" s="43" t="s">
        <v>285</v>
      </c>
      <c r="U127" s="43" t="s">
        <v>285</v>
      </c>
      <c r="V127" s="43">
        <v>46387</v>
      </c>
      <c r="W127" s="91">
        <f>10656-576</f>
        <v>10080</v>
      </c>
      <c r="X127" s="47">
        <v>0</v>
      </c>
      <c r="Y127" s="9" t="s">
        <v>72</v>
      </c>
      <c r="Z127" s="9" t="s">
        <v>762</v>
      </c>
    </row>
    <row r="128" spans="2:26" ht="24" x14ac:dyDescent="0.2">
      <c r="B128" s="44" t="s">
        <v>403</v>
      </c>
      <c r="C128" s="45" t="s">
        <v>39</v>
      </c>
      <c r="D128" s="11" t="s">
        <v>25</v>
      </c>
      <c r="E128" s="11" t="s">
        <v>25</v>
      </c>
      <c r="F128" s="9" t="s">
        <v>81</v>
      </c>
      <c r="G128" s="11" t="s">
        <v>82</v>
      </c>
      <c r="H128" s="11" t="s">
        <v>258</v>
      </c>
      <c r="I128" s="11" t="s">
        <v>8</v>
      </c>
      <c r="J128" s="9" t="s">
        <v>255</v>
      </c>
      <c r="K128" s="11" t="s">
        <v>241</v>
      </c>
      <c r="L128" s="11" t="s">
        <v>261</v>
      </c>
      <c r="M128" s="46" t="s">
        <v>229</v>
      </c>
      <c r="N128" s="11" t="s">
        <v>60</v>
      </c>
      <c r="O128" s="11" t="s">
        <v>64</v>
      </c>
      <c r="P128" s="9" t="s">
        <v>207</v>
      </c>
      <c r="Q128" s="9" t="s">
        <v>43</v>
      </c>
      <c r="R128" s="12">
        <v>5</v>
      </c>
      <c r="S128" s="43">
        <v>45732</v>
      </c>
      <c r="T128" s="43">
        <v>46097</v>
      </c>
      <c r="U128" s="43" t="s">
        <v>285</v>
      </c>
      <c r="V128" s="43">
        <v>46096</v>
      </c>
      <c r="W128" s="91">
        <f>343620-98560</f>
        <v>245060</v>
      </c>
      <c r="X128" s="47">
        <v>0</v>
      </c>
      <c r="Y128" s="9" t="s">
        <v>590</v>
      </c>
      <c r="Z128" s="11" t="s">
        <v>604</v>
      </c>
    </row>
    <row r="129" spans="2:26" ht="24" x14ac:dyDescent="0.2">
      <c r="B129" s="44" t="s">
        <v>404</v>
      </c>
      <c r="C129" s="45" t="s">
        <v>39</v>
      </c>
      <c r="D129" s="11" t="s">
        <v>25</v>
      </c>
      <c r="E129" s="11" t="s">
        <v>25</v>
      </c>
      <c r="F129" s="9" t="s">
        <v>139</v>
      </c>
      <c r="G129" s="9" t="s">
        <v>216</v>
      </c>
      <c r="H129" s="9" t="s">
        <v>258</v>
      </c>
      <c r="I129" s="9" t="s">
        <v>8</v>
      </c>
      <c r="J129" s="9" t="s">
        <v>255</v>
      </c>
      <c r="K129" s="9" t="s">
        <v>246</v>
      </c>
      <c r="L129" s="11" t="s">
        <v>261</v>
      </c>
      <c r="M129" s="46" t="s">
        <v>229</v>
      </c>
      <c r="N129" s="11" t="s">
        <v>35</v>
      </c>
      <c r="O129" s="11" t="s">
        <v>67</v>
      </c>
      <c r="P129" s="9" t="s">
        <v>217</v>
      </c>
      <c r="Q129" s="9" t="s">
        <v>51</v>
      </c>
      <c r="R129" s="12">
        <v>1</v>
      </c>
      <c r="S129" s="43">
        <v>46023</v>
      </c>
      <c r="T129" s="43" t="s">
        <v>285</v>
      </c>
      <c r="U129" s="43" t="s">
        <v>285</v>
      </c>
      <c r="V129" s="43">
        <v>47483</v>
      </c>
      <c r="W129" s="91">
        <v>500</v>
      </c>
      <c r="X129" s="47">
        <v>8100000</v>
      </c>
      <c r="Y129" s="9" t="s">
        <v>72</v>
      </c>
      <c r="Z129" s="9"/>
    </row>
    <row r="130" spans="2:26" ht="24" x14ac:dyDescent="0.2">
      <c r="B130" s="44" t="s">
        <v>405</v>
      </c>
      <c r="C130" s="45" t="s">
        <v>39</v>
      </c>
      <c r="D130" s="11" t="s">
        <v>25</v>
      </c>
      <c r="E130" s="11" t="s">
        <v>25</v>
      </c>
      <c r="F130" s="9" t="s">
        <v>81</v>
      </c>
      <c r="G130" s="9" t="s">
        <v>204</v>
      </c>
      <c r="H130" s="9" t="s">
        <v>258</v>
      </c>
      <c r="I130" s="9" t="s">
        <v>8</v>
      </c>
      <c r="J130" s="9" t="s">
        <v>255</v>
      </c>
      <c r="K130" s="9" t="s">
        <v>246</v>
      </c>
      <c r="L130" s="11" t="s">
        <v>261</v>
      </c>
      <c r="M130" s="46" t="s">
        <v>229</v>
      </c>
      <c r="N130" s="11" t="s">
        <v>35</v>
      </c>
      <c r="O130" s="11" t="s">
        <v>68</v>
      </c>
      <c r="P130" s="9" t="s">
        <v>218</v>
      </c>
      <c r="Q130" s="9" t="s">
        <v>51</v>
      </c>
      <c r="R130" s="12">
        <v>2</v>
      </c>
      <c r="S130" s="43">
        <v>46023</v>
      </c>
      <c r="T130" s="43" t="s">
        <v>285</v>
      </c>
      <c r="U130" s="43" t="s">
        <v>285</v>
      </c>
      <c r="V130" s="43">
        <v>46357</v>
      </c>
      <c r="W130" s="91">
        <v>29940</v>
      </c>
      <c r="X130" s="47">
        <v>0</v>
      </c>
      <c r="Y130" s="9" t="s">
        <v>72</v>
      </c>
      <c r="Z130" s="9"/>
    </row>
    <row r="131" spans="2:26" ht="24" x14ac:dyDescent="0.2">
      <c r="B131" s="44" t="s">
        <v>406</v>
      </c>
      <c r="C131" s="45" t="s">
        <v>39</v>
      </c>
      <c r="D131" s="11" t="s">
        <v>25</v>
      </c>
      <c r="E131" s="11" t="s">
        <v>25</v>
      </c>
      <c r="F131" s="9" t="s">
        <v>81</v>
      </c>
      <c r="G131" s="9" t="s">
        <v>204</v>
      </c>
      <c r="H131" s="9" t="s">
        <v>258</v>
      </c>
      <c r="I131" s="9" t="s">
        <v>8</v>
      </c>
      <c r="J131" s="9" t="s">
        <v>255</v>
      </c>
      <c r="K131" s="9" t="s">
        <v>246</v>
      </c>
      <c r="L131" s="11" t="s">
        <v>261</v>
      </c>
      <c r="M131" s="46" t="s">
        <v>229</v>
      </c>
      <c r="N131" s="11" t="s">
        <v>35</v>
      </c>
      <c r="O131" s="11" t="s">
        <v>68</v>
      </c>
      <c r="P131" s="9" t="s">
        <v>219</v>
      </c>
      <c r="Q131" s="9" t="s">
        <v>41</v>
      </c>
      <c r="R131" s="12">
        <v>16</v>
      </c>
      <c r="S131" s="43">
        <v>46023</v>
      </c>
      <c r="T131" s="43" t="s">
        <v>285</v>
      </c>
      <c r="U131" s="43" t="s">
        <v>285</v>
      </c>
      <c r="V131" s="43">
        <v>46357</v>
      </c>
      <c r="W131" s="91">
        <v>21600</v>
      </c>
      <c r="X131" s="47">
        <v>0</v>
      </c>
      <c r="Y131" s="9" t="s">
        <v>72</v>
      </c>
      <c r="Z131" s="9"/>
    </row>
    <row r="132" spans="2:26" ht="24" x14ac:dyDescent="0.2">
      <c r="B132" s="44" t="s">
        <v>407</v>
      </c>
      <c r="C132" s="45" t="s">
        <v>39</v>
      </c>
      <c r="D132" s="11" t="s">
        <v>25</v>
      </c>
      <c r="E132" s="11" t="s">
        <v>25</v>
      </c>
      <c r="F132" s="9" t="s">
        <v>81</v>
      </c>
      <c r="G132" s="9" t="s">
        <v>204</v>
      </c>
      <c r="H132" s="9" t="s">
        <v>258</v>
      </c>
      <c r="I132" s="9" t="s">
        <v>8</v>
      </c>
      <c r="J132" s="9" t="s">
        <v>255</v>
      </c>
      <c r="K132" s="9" t="s">
        <v>246</v>
      </c>
      <c r="L132" s="11" t="s">
        <v>261</v>
      </c>
      <c r="M132" s="46" t="s">
        <v>229</v>
      </c>
      <c r="N132" s="11" t="s">
        <v>35</v>
      </c>
      <c r="O132" s="11" t="s">
        <v>68</v>
      </c>
      <c r="P132" s="9" t="s">
        <v>220</v>
      </c>
      <c r="Q132" s="9" t="s">
        <v>51</v>
      </c>
      <c r="R132" s="12">
        <v>2</v>
      </c>
      <c r="S132" s="43">
        <v>46327</v>
      </c>
      <c r="T132" s="43" t="s">
        <v>285</v>
      </c>
      <c r="U132" s="43" t="s">
        <v>285</v>
      </c>
      <c r="V132" s="43">
        <v>46357</v>
      </c>
      <c r="W132" s="91">
        <v>1820</v>
      </c>
      <c r="X132" s="47">
        <v>0</v>
      </c>
      <c r="Y132" s="9" t="s">
        <v>72</v>
      </c>
      <c r="Z132" s="9"/>
    </row>
    <row r="133" spans="2:26" ht="36" x14ac:dyDescent="0.2">
      <c r="B133" s="48" t="s">
        <v>408</v>
      </c>
      <c r="C133" s="49" t="s">
        <v>39</v>
      </c>
      <c r="D133" s="50" t="s">
        <v>25</v>
      </c>
      <c r="E133" s="50" t="s">
        <v>25</v>
      </c>
      <c r="F133" s="51" t="s">
        <v>81</v>
      </c>
      <c r="G133" s="51" t="s">
        <v>206</v>
      </c>
      <c r="H133" s="51" t="s">
        <v>258</v>
      </c>
      <c r="I133" s="51" t="s">
        <v>8</v>
      </c>
      <c r="J133" s="51" t="s">
        <v>255</v>
      </c>
      <c r="K133" s="51" t="s">
        <v>241</v>
      </c>
      <c r="L133" s="50" t="s">
        <v>261</v>
      </c>
      <c r="M133" s="52" t="s">
        <v>229</v>
      </c>
      <c r="N133" s="50" t="s">
        <v>58</v>
      </c>
      <c r="O133" s="50" t="s">
        <v>64</v>
      </c>
      <c r="P133" s="51" t="s">
        <v>221</v>
      </c>
      <c r="Q133" s="51" t="s">
        <v>53</v>
      </c>
      <c r="R133" s="53">
        <f>W133</f>
        <v>0</v>
      </c>
      <c r="S133" s="54">
        <v>45601</v>
      </c>
      <c r="T133" s="54" t="s">
        <v>285</v>
      </c>
      <c r="U133" s="54" t="s">
        <v>285</v>
      </c>
      <c r="V133" s="54">
        <v>46387</v>
      </c>
      <c r="W133" s="92">
        <f>8784-8784</f>
        <v>0</v>
      </c>
      <c r="X133" s="55">
        <v>0</v>
      </c>
      <c r="Y133" s="62" t="s">
        <v>464</v>
      </c>
      <c r="Z133" s="11" t="s">
        <v>690</v>
      </c>
    </row>
    <row r="134" spans="2:26" ht="24" x14ac:dyDescent="0.2">
      <c r="B134" s="44" t="s">
        <v>409</v>
      </c>
      <c r="C134" s="45" t="s">
        <v>40</v>
      </c>
      <c r="D134" s="11" t="s">
        <v>14</v>
      </c>
      <c r="E134" s="11" t="s">
        <v>27</v>
      </c>
      <c r="F134" s="9" t="s">
        <v>78</v>
      </c>
      <c r="G134" s="9" t="s">
        <v>76</v>
      </c>
      <c r="H134" s="9" t="s">
        <v>258</v>
      </c>
      <c r="I134" s="9" t="s">
        <v>8</v>
      </c>
      <c r="J134" s="9" t="s">
        <v>255</v>
      </c>
      <c r="K134" s="9" t="s">
        <v>244</v>
      </c>
      <c r="L134" s="11" t="s">
        <v>261</v>
      </c>
      <c r="M134" s="46" t="s">
        <v>229</v>
      </c>
      <c r="N134" s="11" t="s">
        <v>35</v>
      </c>
      <c r="O134" s="11" t="s">
        <v>68</v>
      </c>
      <c r="P134" s="9" t="s">
        <v>228</v>
      </c>
      <c r="Q134" s="9" t="s">
        <v>53</v>
      </c>
      <c r="R134" s="10">
        <f>W134</f>
        <v>32061</v>
      </c>
      <c r="S134" s="43">
        <v>46036</v>
      </c>
      <c r="T134" s="43" t="s">
        <v>285</v>
      </c>
      <c r="U134" s="43" t="s">
        <v>285</v>
      </c>
      <c r="V134" s="43">
        <v>46400</v>
      </c>
      <c r="W134" s="91">
        <v>32061</v>
      </c>
      <c r="X134" s="47">
        <v>0</v>
      </c>
      <c r="Y134" s="9" t="s">
        <v>72</v>
      </c>
      <c r="Z134" s="9"/>
    </row>
    <row r="135" spans="2:26" ht="24" x14ac:dyDescent="0.2">
      <c r="B135" s="44" t="s">
        <v>410</v>
      </c>
      <c r="C135" s="45" t="s">
        <v>40</v>
      </c>
      <c r="D135" s="11" t="s">
        <v>19</v>
      </c>
      <c r="E135" s="11" t="s">
        <v>413</v>
      </c>
      <c r="F135" s="11" t="s">
        <v>78</v>
      </c>
      <c r="G135" s="11" t="s">
        <v>76</v>
      </c>
      <c r="H135" s="11" t="s">
        <v>258</v>
      </c>
      <c r="I135" s="11" t="s">
        <v>8</v>
      </c>
      <c r="J135" s="9" t="s">
        <v>255</v>
      </c>
      <c r="K135" s="9" t="s">
        <v>242</v>
      </c>
      <c r="L135" s="11" t="s">
        <v>261</v>
      </c>
      <c r="M135" s="46" t="s">
        <v>229</v>
      </c>
      <c r="N135" s="11" t="s">
        <v>35</v>
      </c>
      <c r="O135" s="11" t="s">
        <v>68</v>
      </c>
      <c r="P135" s="11" t="s">
        <v>432</v>
      </c>
      <c r="Q135" s="9" t="s">
        <v>51</v>
      </c>
      <c r="R135" s="10">
        <v>1</v>
      </c>
      <c r="S135" s="42">
        <v>46082</v>
      </c>
      <c r="T135" s="42" t="s">
        <v>285</v>
      </c>
      <c r="U135" s="42" t="s">
        <v>285</v>
      </c>
      <c r="V135" s="42">
        <f>S135+90</f>
        <v>46172</v>
      </c>
      <c r="W135" s="91">
        <f>50390+810+1800</f>
        <v>53000</v>
      </c>
      <c r="X135" s="47">
        <v>0</v>
      </c>
      <c r="Y135" s="9" t="s">
        <v>72</v>
      </c>
      <c r="Z135" s="11" t="s">
        <v>492</v>
      </c>
    </row>
    <row r="136" spans="2:26" ht="72" x14ac:dyDescent="0.2">
      <c r="B136" s="44" t="s">
        <v>411</v>
      </c>
      <c r="C136" s="45" t="s">
        <v>38</v>
      </c>
      <c r="D136" s="11" t="s">
        <v>237</v>
      </c>
      <c r="E136" s="11" t="s">
        <v>237</v>
      </c>
      <c r="F136" s="11" t="s">
        <v>188</v>
      </c>
      <c r="G136" s="11" t="s">
        <v>200</v>
      </c>
      <c r="H136" s="11" t="s">
        <v>260</v>
      </c>
      <c r="I136" s="11" t="s">
        <v>9</v>
      </c>
      <c r="J136" s="9" t="s">
        <v>255</v>
      </c>
      <c r="K136" s="11" t="s">
        <v>246</v>
      </c>
      <c r="L136" s="11" t="s">
        <v>261</v>
      </c>
      <c r="M136" s="46" t="s">
        <v>230</v>
      </c>
      <c r="N136" s="11" t="s">
        <v>60</v>
      </c>
      <c r="O136" s="11" t="s">
        <v>66</v>
      </c>
      <c r="P136" s="9" t="s">
        <v>412</v>
      </c>
      <c r="Q136" s="9" t="s">
        <v>53</v>
      </c>
      <c r="R136" s="10">
        <f>W136</f>
        <v>2464585.2000000002</v>
      </c>
      <c r="S136" s="43">
        <v>45809</v>
      </c>
      <c r="T136" s="42" t="s">
        <v>285</v>
      </c>
      <c r="U136" s="42" t="s">
        <v>285</v>
      </c>
      <c r="V136" s="43">
        <v>47634</v>
      </c>
      <c r="W136" s="91">
        <f>2464585.2</f>
        <v>2464585.2000000002</v>
      </c>
      <c r="X136" s="47">
        <v>0</v>
      </c>
      <c r="Y136" s="57" t="s">
        <v>478</v>
      </c>
      <c r="Z136" s="57" t="s">
        <v>450</v>
      </c>
    </row>
    <row r="137" spans="2:26" ht="39.950000000000003" customHeight="1" x14ac:dyDescent="0.2">
      <c r="B137" s="44" t="s">
        <v>415</v>
      </c>
      <c r="C137" s="45" t="s">
        <v>40</v>
      </c>
      <c r="D137" s="11" t="s">
        <v>14</v>
      </c>
      <c r="E137" s="11" t="s">
        <v>14</v>
      </c>
      <c r="F137" s="11" t="s">
        <v>78</v>
      </c>
      <c r="G137" s="11" t="s">
        <v>76</v>
      </c>
      <c r="H137" s="11" t="s">
        <v>258</v>
      </c>
      <c r="I137" s="11" t="s">
        <v>8</v>
      </c>
      <c r="J137" s="9" t="s">
        <v>255</v>
      </c>
      <c r="K137" s="11" t="s">
        <v>245</v>
      </c>
      <c r="L137" s="11" t="s">
        <v>261</v>
      </c>
      <c r="M137" s="46" t="s">
        <v>229</v>
      </c>
      <c r="N137" s="11" t="s">
        <v>34</v>
      </c>
      <c r="O137" s="11" t="s">
        <v>66</v>
      </c>
      <c r="P137" s="9" t="s">
        <v>597</v>
      </c>
      <c r="Q137" s="9" t="s">
        <v>416</v>
      </c>
      <c r="R137" s="10">
        <v>24.4</v>
      </c>
      <c r="S137" s="42">
        <v>46054</v>
      </c>
      <c r="T137" s="42" t="s">
        <v>285</v>
      </c>
      <c r="U137" s="42" t="s">
        <v>285</v>
      </c>
      <c r="V137" s="43" t="s">
        <v>285</v>
      </c>
      <c r="W137" s="91">
        <f>7689.17-1800</f>
        <v>5889.17</v>
      </c>
      <c r="X137" s="47">
        <v>0</v>
      </c>
      <c r="Y137" s="57" t="s">
        <v>417</v>
      </c>
      <c r="Z137" s="57" t="s">
        <v>493</v>
      </c>
    </row>
    <row r="138" spans="2:26" ht="39.950000000000003" customHeight="1" x14ac:dyDescent="0.2">
      <c r="B138" s="44" t="s">
        <v>418</v>
      </c>
      <c r="C138" s="45" t="s">
        <v>40</v>
      </c>
      <c r="D138" s="11" t="s">
        <v>14</v>
      </c>
      <c r="E138" s="11" t="s">
        <v>27</v>
      </c>
      <c r="F138" s="11" t="s">
        <v>78</v>
      </c>
      <c r="G138" s="11" t="s">
        <v>76</v>
      </c>
      <c r="H138" s="11" t="s">
        <v>258</v>
      </c>
      <c r="I138" s="11" t="s">
        <v>8</v>
      </c>
      <c r="J138" s="9" t="s">
        <v>255</v>
      </c>
      <c r="K138" s="11" t="s">
        <v>242</v>
      </c>
      <c r="L138" s="11" t="s">
        <v>261</v>
      </c>
      <c r="M138" s="46" t="s">
        <v>229</v>
      </c>
      <c r="N138" s="11" t="s">
        <v>35</v>
      </c>
      <c r="O138" s="11" t="s">
        <v>70</v>
      </c>
      <c r="P138" s="9" t="s">
        <v>419</v>
      </c>
      <c r="Q138" s="9" t="s">
        <v>53</v>
      </c>
      <c r="R138" s="10">
        <f>W138</f>
        <v>30000</v>
      </c>
      <c r="S138" s="42">
        <v>46054</v>
      </c>
      <c r="T138" s="42" t="s">
        <v>285</v>
      </c>
      <c r="U138" s="42" t="s">
        <v>285</v>
      </c>
      <c r="V138" s="43" t="s">
        <v>285</v>
      </c>
      <c r="W138" s="91">
        <f>30000</f>
        <v>30000</v>
      </c>
      <c r="X138" s="47">
        <v>0</v>
      </c>
      <c r="Y138" s="9" t="s">
        <v>72</v>
      </c>
      <c r="Z138" s="57" t="s">
        <v>451</v>
      </c>
    </row>
    <row r="139" spans="2:26" ht="39.950000000000003" customHeight="1" x14ac:dyDescent="0.2">
      <c r="B139" s="44" t="s">
        <v>420</v>
      </c>
      <c r="C139" s="45" t="s">
        <v>40</v>
      </c>
      <c r="D139" s="11" t="s">
        <v>14</v>
      </c>
      <c r="E139" s="11" t="s">
        <v>14</v>
      </c>
      <c r="F139" s="11" t="s">
        <v>78</v>
      </c>
      <c r="G139" s="11" t="s">
        <v>76</v>
      </c>
      <c r="H139" s="11" t="s">
        <v>258</v>
      </c>
      <c r="I139" s="11" t="s">
        <v>8</v>
      </c>
      <c r="J139" s="9" t="s">
        <v>255</v>
      </c>
      <c r="K139" s="11" t="s">
        <v>242</v>
      </c>
      <c r="L139" s="11" t="s">
        <v>261</v>
      </c>
      <c r="M139" s="46" t="s">
        <v>229</v>
      </c>
      <c r="N139" s="11" t="s">
        <v>35</v>
      </c>
      <c r="O139" s="11" t="s">
        <v>66</v>
      </c>
      <c r="P139" s="9" t="s">
        <v>422</v>
      </c>
      <c r="Q139" s="9" t="s">
        <v>51</v>
      </c>
      <c r="R139" s="10">
        <v>1</v>
      </c>
      <c r="S139" s="42">
        <v>46082</v>
      </c>
      <c r="T139" s="42" t="s">
        <v>285</v>
      </c>
      <c r="U139" s="42" t="s">
        <v>285</v>
      </c>
      <c r="V139" s="43">
        <f>S139+60</f>
        <v>46142</v>
      </c>
      <c r="W139" s="91">
        <v>1950</v>
      </c>
      <c r="X139" s="47">
        <v>0</v>
      </c>
      <c r="Y139" s="9" t="s">
        <v>184</v>
      </c>
      <c r="Z139" s="57" t="s">
        <v>423</v>
      </c>
    </row>
    <row r="140" spans="2:26" ht="39.950000000000003" customHeight="1" x14ac:dyDescent="0.2">
      <c r="B140" s="44" t="s">
        <v>421</v>
      </c>
      <c r="C140" s="45" t="s">
        <v>40</v>
      </c>
      <c r="D140" s="11" t="s">
        <v>14</v>
      </c>
      <c r="E140" s="11" t="s">
        <v>14</v>
      </c>
      <c r="F140" s="11" t="s">
        <v>78</v>
      </c>
      <c r="G140" s="11" t="s">
        <v>431</v>
      </c>
      <c r="H140" s="11" t="s">
        <v>260</v>
      </c>
      <c r="I140" s="11" t="s">
        <v>9</v>
      </c>
      <c r="J140" s="9" t="s">
        <v>255</v>
      </c>
      <c r="K140" s="11" t="s">
        <v>248</v>
      </c>
      <c r="L140" s="11" t="s">
        <v>261</v>
      </c>
      <c r="M140" s="46" t="s">
        <v>229</v>
      </c>
      <c r="N140" s="11" t="s">
        <v>35</v>
      </c>
      <c r="O140" s="11" t="s">
        <v>66</v>
      </c>
      <c r="P140" s="9" t="s">
        <v>428</v>
      </c>
      <c r="Q140" s="9" t="s">
        <v>51</v>
      </c>
      <c r="R140" s="10">
        <v>1</v>
      </c>
      <c r="S140" s="42">
        <v>46082</v>
      </c>
      <c r="T140" s="42" t="s">
        <v>285</v>
      </c>
      <c r="U140" s="42" t="s">
        <v>285</v>
      </c>
      <c r="V140" s="43">
        <f>S140+60</f>
        <v>46142</v>
      </c>
      <c r="W140" s="91">
        <f>149835-3000</f>
        <v>146835</v>
      </c>
      <c r="X140" s="47">
        <v>0</v>
      </c>
      <c r="Y140" s="9" t="s">
        <v>184</v>
      </c>
      <c r="Z140" s="57" t="s">
        <v>763</v>
      </c>
    </row>
    <row r="141" spans="2:26" ht="39.950000000000003" customHeight="1" x14ac:dyDescent="0.2">
      <c r="B141" s="44" t="s">
        <v>425</v>
      </c>
      <c r="C141" s="45" t="s">
        <v>40</v>
      </c>
      <c r="D141" s="11" t="s">
        <v>14</v>
      </c>
      <c r="E141" s="11" t="s">
        <v>27</v>
      </c>
      <c r="F141" s="11" t="s">
        <v>78</v>
      </c>
      <c r="G141" s="11" t="s">
        <v>431</v>
      </c>
      <c r="H141" s="11" t="s">
        <v>260</v>
      </c>
      <c r="I141" s="11" t="s">
        <v>9</v>
      </c>
      <c r="J141" s="9" t="s">
        <v>255</v>
      </c>
      <c r="K141" s="11" t="s">
        <v>426</v>
      </c>
      <c r="L141" s="11" t="s">
        <v>261</v>
      </c>
      <c r="M141" s="46" t="s">
        <v>229</v>
      </c>
      <c r="N141" s="11" t="s">
        <v>34</v>
      </c>
      <c r="O141" s="11" t="s">
        <v>61</v>
      </c>
      <c r="P141" s="9" t="s">
        <v>429</v>
      </c>
      <c r="Q141" s="9" t="s">
        <v>53</v>
      </c>
      <c r="R141" s="10">
        <f>W141</f>
        <v>71176</v>
      </c>
      <c r="S141" s="42">
        <v>46082</v>
      </c>
      <c r="T141" s="42" t="s">
        <v>285</v>
      </c>
      <c r="U141" s="42" t="s">
        <v>285</v>
      </c>
      <c r="V141" s="43" t="s">
        <v>285</v>
      </c>
      <c r="W141" s="91">
        <v>71176</v>
      </c>
      <c r="X141" s="47">
        <v>0</v>
      </c>
      <c r="Y141" s="9" t="s">
        <v>72</v>
      </c>
      <c r="Z141" s="57" t="s">
        <v>424</v>
      </c>
    </row>
    <row r="142" spans="2:26" ht="72" x14ac:dyDescent="0.2">
      <c r="B142" s="44" t="s">
        <v>430</v>
      </c>
      <c r="C142" s="45" t="s">
        <v>38</v>
      </c>
      <c r="D142" s="11" t="s">
        <v>22</v>
      </c>
      <c r="E142" s="59" t="s">
        <v>31</v>
      </c>
      <c r="F142" s="11" t="s">
        <v>188</v>
      </c>
      <c r="G142" s="11" t="s">
        <v>192</v>
      </c>
      <c r="H142" s="11" t="s">
        <v>260</v>
      </c>
      <c r="I142" s="11" t="s">
        <v>9</v>
      </c>
      <c r="J142" s="9" t="s">
        <v>255</v>
      </c>
      <c r="K142" s="11" t="s">
        <v>426</v>
      </c>
      <c r="L142" s="11" t="s">
        <v>261</v>
      </c>
      <c r="M142" s="46" t="s">
        <v>229</v>
      </c>
      <c r="N142" s="11" t="s">
        <v>34</v>
      </c>
      <c r="O142" s="11" t="s">
        <v>66</v>
      </c>
      <c r="P142" s="9" t="s">
        <v>440</v>
      </c>
      <c r="Q142" s="9" t="s">
        <v>53</v>
      </c>
      <c r="R142" s="10">
        <f>W142</f>
        <v>92744</v>
      </c>
      <c r="S142" s="42">
        <v>46082</v>
      </c>
      <c r="T142" s="42" t="s">
        <v>285</v>
      </c>
      <c r="U142" s="42" t="s">
        <v>285</v>
      </c>
      <c r="V142" s="43" t="s">
        <v>285</v>
      </c>
      <c r="W142" s="91">
        <v>92744</v>
      </c>
      <c r="X142" s="47">
        <v>0</v>
      </c>
      <c r="Y142" s="9" t="s">
        <v>185</v>
      </c>
      <c r="Z142" s="57" t="s">
        <v>424</v>
      </c>
    </row>
    <row r="143" spans="2:26" ht="36" x14ac:dyDescent="0.2">
      <c r="B143" s="44" t="s">
        <v>452</v>
      </c>
      <c r="C143" s="45" t="s">
        <v>40</v>
      </c>
      <c r="D143" s="11" t="s">
        <v>23</v>
      </c>
      <c r="E143" s="59" t="s">
        <v>29</v>
      </c>
      <c r="F143" s="11" t="s">
        <v>78</v>
      </c>
      <c r="G143" s="11" t="s">
        <v>454</v>
      </c>
      <c r="H143" s="11" t="s">
        <v>260</v>
      </c>
      <c r="I143" s="11" t="s">
        <v>9</v>
      </c>
      <c r="J143" s="9" t="s">
        <v>255</v>
      </c>
      <c r="K143" s="11" t="s">
        <v>246</v>
      </c>
      <c r="L143" s="11" t="s">
        <v>261</v>
      </c>
      <c r="M143" s="46" t="s">
        <v>229</v>
      </c>
      <c r="N143" s="11" t="s">
        <v>34</v>
      </c>
      <c r="O143" s="11" t="s">
        <v>66</v>
      </c>
      <c r="P143" s="9" t="s">
        <v>453</v>
      </c>
      <c r="Q143" s="9" t="s">
        <v>41</v>
      </c>
      <c r="R143" s="10">
        <v>166</v>
      </c>
      <c r="S143" s="42">
        <v>46086</v>
      </c>
      <c r="T143" s="42" t="s">
        <v>285</v>
      </c>
      <c r="U143" s="42" t="s">
        <v>285</v>
      </c>
      <c r="V143" s="43" t="s">
        <v>285</v>
      </c>
      <c r="W143" s="91">
        <v>464000</v>
      </c>
      <c r="X143" s="47">
        <v>0</v>
      </c>
      <c r="Y143" s="57" t="s">
        <v>417</v>
      </c>
      <c r="Z143" s="57" t="s">
        <v>486</v>
      </c>
    </row>
    <row r="144" spans="2:26" ht="24" x14ac:dyDescent="0.2">
      <c r="B144" s="44" t="s">
        <v>457</v>
      </c>
      <c r="C144" s="45" t="s">
        <v>39</v>
      </c>
      <c r="D144" s="11" t="s">
        <v>24</v>
      </c>
      <c r="E144" s="59" t="s">
        <v>24</v>
      </c>
      <c r="F144" s="11" t="s">
        <v>81</v>
      </c>
      <c r="G144" s="11" t="s">
        <v>206</v>
      </c>
      <c r="H144" s="11" t="s">
        <v>258</v>
      </c>
      <c r="I144" s="11" t="s">
        <v>8</v>
      </c>
      <c r="J144" s="11" t="s">
        <v>255</v>
      </c>
      <c r="K144" s="9" t="s">
        <v>241</v>
      </c>
      <c r="L144" s="11" t="s">
        <v>261</v>
      </c>
      <c r="M144" s="46" t="s">
        <v>229</v>
      </c>
      <c r="N144" s="11" t="s">
        <v>60</v>
      </c>
      <c r="O144" s="11" t="s">
        <v>64</v>
      </c>
      <c r="P144" s="9" t="s">
        <v>458</v>
      </c>
      <c r="Q144" s="9" t="s">
        <v>53</v>
      </c>
      <c r="R144" s="10">
        <f>W144</f>
        <v>608400</v>
      </c>
      <c r="S144" s="42">
        <v>46086</v>
      </c>
      <c r="T144" s="42" t="s">
        <v>285</v>
      </c>
      <c r="U144" s="42" t="s">
        <v>285</v>
      </c>
      <c r="V144" s="43">
        <v>46387</v>
      </c>
      <c r="W144" s="91">
        <f>329340+29222+85524+98560+56970+8784</f>
        <v>608400</v>
      </c>
      <c r="X144" s="47">
        <v>0</v>
      </c>
      <c r="Y144" s="57" t="s">
        <v>464</v>
      </c>
      <c r="Z144" s="58" t="s">
        <v>691</v>
      </c>
    </row>
    <row r="145" spans="2:26" ht="24" x14ac:dyDescent="0.2">
      <c r="B145" s="44" t="s">
        <v>465</v>
      </c>
      <c r="C145" s="45" t="s">
        <v>39</v>
      </c>
      <c r="D145" s="11" t="s">
        <v>24</v>
      </c>
      <c r="E145" s="59" t="s">
        <v>24</v>
      </c>
      <c r="F145" s="11" t="s">
        <v>81</v>
      </c>
      <c r="G145" s="11" t="s">
        <v>206</v>
      </c>
      <c r="H145" s="11" t="s">
        <v>258</v>
      </c>
      <c r="I145" s="11" t="s">
        <v>9</v>
      </c>
      <c r="J145" s="11" t="s">
        <v>255</v>
      </c>
      <c r="K145" s="9" t="s">
        <v>241</v>
      </c>
      <c r="L145" s="11" t="s">
        <v>261</v>
      </c>
      <c r="M145" s="46" t="s">
        <v>229</v>
      </c>
      <c r="N145" s="11" t="s">
        <v>60</v>
      </c>
      <c r="O145" s="11" t="s">
        <v>64</v>
      </c>
      <c r="P145" s="9" t="s">
        <v>459</v>
      </c>
      <c r="Q145" s="9" t="s">
        <v>53</v>
      </c>
      <c r="R145" s="10">
        <f t="shared" ref="R145:R148" si="1">W145</f>
        <v>32400</v>
      </c>
      <c r="S145" s="42">
        <v>46086</v>
      </c>
      <c r="T145" s="42" t="s">
        <v>285</v>
      </c>
      <c r="U145" s="42" t="s">
        <v>285</v>
      </c>
      <c r="V145" s="43">
        <v>46387</v>
      </c>
      <c r="W145" s="91">
        <v>32400</v>
      </c>
      <c r="X145" s="47">
        <v>0</v>
      </c>
      <c r="Y145" s="57" t="s">
        <v>222</v>
      </c>
      <c r="Z145" s="58" t="s">
        <v>485</v>
      </c>
    </row>
    <row r="146" spans="2:26" ht="36" x14ac:dyDescent="0.2">
      <c r="B146" s="48" t="s">
        <v>466</v>
      </c>
      <c r="C146" s="49" t="s">
        <v>39</v>
      </c>
      <c r="D146" s="50" t="s">
        <v>24</v>
      </c>
      <c r="E146" s="74" t="s">
        <v>24</v>
      </c>
      <c r="F146" s="50" t="s">
        <v>81</v>
      </c>
      <c r="G146" s="50" t="s">
        <v>206</v>
      </c>
      <c r="H146" s="50" t="s">
        <v>258</v>
      </c>
      <c r="I146" s="50" t="s">
        <v>8</v>
      </c>
      <c r="J146" s="50" t="s">
        <v>255</v>
      </c>
      <c r="K146" s="51" t="s">
        <v>241</v>
      </c>
      <c r="L146" s="50" t="s">
        <v>261</v>
      </c>
      <c r="M146" s="52" t="s">
        <v>229</v>
      </c>
      <c r="N146" s="50" t="s">
        <v>60</v>
      </c>
      <c r="O146" s="50" t="s">
        <v>64</v>
      </c>
      <c r="P146" s="51" t="s">
        <v>460</v>
      </c>
      <c r="Q146" s="51" t="s">
        <v>53</v>
      </c>
      <c r="R146" s="53">
        <f t="shared" si="1"/>
        <v>0</v>
      </c>
      <c r="S146" s="75">
        <v>46086</v>
      </c>
      <c r="T146" s="75" t="s">
        <v>285</v>
      </c>
      <c r="U146" s="75" t="s">
        <v>285</v>
      </c>
      <c r="V146" s="54">
        <v>46387</v>
      </c>
      <c r="W146" s="92">
        <f>43330-42450-880</f>
        <v>0</v>
      </c>
      <c r="X146" s="55">
        <v>0</v>
      </c>
      <c r="Y146" s="62" t="s">
        <v>464</v>
      </c>
      <c r="Z146" s="58" t="s">
        <v>692</v>
      </c>
    </row>
    <row r="147" spans="2:26" ht="36" x14ac:dyDescent="0.2">
      <c r="B147" s="48" t="s">
        <v>467</v>
      </c>
      <c r="C147" s="49" t="s">
        <v>39</v>
      </c>
      <c r="D147" s="50" t="s">
        <v>24</v>
      </c>
      <c r="E147" s="74" t="s">
        <v>24</v>
      </c>
      <c r="F147" s="50" t="s">
        <v>81</v>
      </c>
      <c r="G147" s="50" t="s">
        <v>206</v>
      </c>
      <c r="H147" s="50" t="s">
        <v>258</v>
      </c>
      <c r="I147" s="50" t="s">
        <v>8</v>
      </c>
      <c r="J147" s="50" t="s">
        <v>255</v>
      </c>
      <c r="K147" s="51" t="s">
        <v>241</v>
      </c>
      <c r="L147" s="50" t="s">
        <v>261</v>
      </c>
      <c r="M147" s="52" t="s">
        <v>229</v>
      </c>
      <c r="N147" s="50" t="s">
        <v>60</v>
      </c>
      <c r="O147" s="50" t="s">
        <v>64</v>
      </c>
      <c r="P147" s="51" t="s">
        <v>461</v>
      </c>
      <c r="Q147" s="51" t="s">
        <v>53</v>
      </c>
      <c r="R147" s="53">
        <f t="shared" si="1"/>
        <v>0</v>
      </c>
      <c r="S147" s="75">
        <v>46086</v>
      </c>
      <c r="T147" s="75" t="s">
        <v>285</v>
      </c>
      <c r="U147" s="75" t="s">
        <v>285</v>
      </c>
      <c r="V147" s="54">
        <v>46387</v>
      </c>
      <c r="W147" s="92">
        <f>4000-4000</f>
        <v>0</v>
      </c>
      <c r="X147" s="55">
        <v>0</v>
      </c>
      <c r="Y147" s="62" t="s">
        <v>464</v>
      </c>
      <c r="Z147" s="58" t="s">
        <v>693</v>
      </c>
    </row>
    <row r="148" spans="2:26" ht="36" x14ac:dyDescent="0.2">
      <c r="B148" s="48" t="s">
        <v>468</v>
      </c>
      <c r="C148" s="49" t="s">
        <v>39</v>
      </c>
      <c r="D148" s="50" t="s">
        <v>24</v>
      </c>
      <c r="E148" s="74" t="s">
        <v>24</v>
      </c>
      <c r="F148" s="50" t="s">
        <v>81</v>
      </c>
      <c r="G148" s="50" t="s">
        <v>206</v>
      </c>
      <c r="H148" s="50" t="s">
        <v>258</v>
      </c>
      <c r="I148" s="50" t="s">
        <v>8</v>
      </c>
      <c r="J148" s="50" t="s">
        <v>255</v>
      </c>
      <c r="K148" s="51" t="s">
        <v>241</v>
      </c>
      <c r="L148" s="50" t="s">
        <v>261</v>
      </c>
      <c r="M148" s="52" t="s">
        <v>229</v>
      </c>
      <c r="N148" s="50" t="s">
        <v>60</v>
      </c>
      <c r="O148" s="50" t="s">
        <v>64</v>
      </c>
      <c r="P148" s="51" t="s">
        <v>462</v>
      </c>
      <c r="Q148" s="51" t="s">
        <v>53</v>
      </c>
      <c r="R148" s="53">
        <f t="shared" si="1"/>
        <v>0</v>
      </c>
      <c r="S148" s="75">
        <v>46086</v>
      </c>
      <c r="T148" s="75" t="s">
        <v>285</v>
      </c>
      <c r="U148" s="75" t="s">
        <v>285</v>
      </c>
      <c r="V148" s="54">
        <v>46387</v>
      </c>
      <c r="W148" s="92">
        <f>18200-18200</f>
        <v>0</v>
      </c>
      <c r="X148" s="55">
        <v>0</v>
      </c>
      <c r="Y148" s="62" t="s">
        <v>464</v>
      </c>
      <c r="Z148" s="58" t="s">
        <v>693</v>
      </c>
    </row>
    <row r="149" spans="2:26" ht="36" x14ac:dyDescent="0.2">
      <c r="B149" s="44" t="s">
        <v>469</v>
      </c>
      <c r="C149" s="45" t="s">
        <v>39</v>
      </c>
      <c r="D149" s="11" t="s">
        <v>24</v>
      </c>
      <c r="E149" s="59" t="s">
        <v>24</v>
      </c>
      <c r="F149" s="11" t="s">
        <v>81</v>
      </c>
      <c r="G149" s="11" t="s">
        <v>206</v>
      </c>
      <c r="H149" s="11" t="s">
        <v>258</v>
      </c>
      <c r="I149" s="11" t="s">
        <v>8</v>
      </c>
      <c r="J149" s="11" t="s">
        <v>255</v>
      </c>
      <c r="K149" s="9" t="s">
        <v>241</v>
      </c>
      <c r="L149" s="11" t="s">
        <v>261</v>
      </c>
      <c r="M149" s="46" t="s">
        <v>229</v>
      </c>
      <c r="N149" s="11" t="s">
        <v>60</v>
      </c>
      <c r="O149" s="11" t="s">
        <v>64</v>
      </c>
      <c r="P149" s="9" t="s">
        <v>463</v>
      </c>
      <c r="Q149" s="9" t="s">
        <v>53</v>
      </c>
      <c r="R149" s="10">
        <f t="shared" ref="R149" si="2">W149</f>
        <v>74760</v>
      </c>
      <c r="S149" s="42">
        <v>46086</v>
      </c>
      <c r="T149" s="42" t="s">
        <v>285</v>
      </c>
      <c r="U149" s="42" t="s">
        <v>285</v>
      </c>
      <c r="V149" s="43">
        <v>46387</v>
      </c>
      <c r="W149" s="91">
        <f>32310+42450</f>
        <v>74760</v>
      </c>
      <c r="X149" s="47">
        <v>0</v>
      </c>
      <c r="Y149" s="57" t="s">
        <v>222</v>
      </c>
      <c r="Z149" s="58" t="s">
        <v>694</v>
      </c>
    </row>
    <row r="150" spans="2:26" ht="24" x14ac:dyDescent="0.2">
      <c r="B150" s="44" t="s">
        <v>470</v>
      </c>
      <c r="C150" s="45" t="s">
        <v>40</v>
      </c>
      <c r="D150" s="11" t="s">
        <v>19</v>
      </c>
      <c r="E150" s="59" t="s">
        <v>19</v>
      </c>
      <c r="F150" s="11" t="s">
        <v>123</v>
      </c>
      <c r="G150" s="11" t="s">
        <v>472</v>
      </c>
      <c r="H150" s="11" t="s">
        <v>260</v>
      </c>
      <c r="I150" s="11" t="s">
        <v>9</v>
      </c>
      <c r="J150" s="9" t="s">
        <v>255</v>
      </c>
      <c r="K150" s="11" t="s">
        <v>248</v>
      </c>
      <c r="L150" s="11" t="s">
        <v>261</v>
      </c>
      <c r="M150" s="46" t="s">
        <v>229</v>
      </c>
      <c r="N150" s="11" t="s">
        <v>35</v>
      </c>
      <c r="O150" s="11" t="s">
        <v>69</v>
      </c>
      <c r="P150" s="9" t="s">
        <v>471</v>
      </c>
      <c r="Q150" s="9" t="s">
        <v>53</v>
      </c>
      <c r="R150" s="10">
        <f>W150</f>
        <v>16000</v>
      </c>
      <c r="S150" s="42">
        <v>46086</v>
      </c>
      <c r="T150" s="42" t="s">
        <v>285</v>
      </c>
      <c r="U150" s="42" t="s">
        <v>285</v>
      </c>
      <c r="V150" s="43">
        <v>46221</v>
      </c>
      <c r="W150" s="91">
        <f>12000+4000</f>
        <v>16000</v>
      </c>
      <c r="X150" s="47">
        <v>0</v>
      </c>
      <c r="Y150" s="57" t="s">
        <v>72</v>
      </c>
      <c r="Z150" s="58" t="s">
        <v>481</v>
      </c>
    </row>
    <row r="151" spans="2:26" ht="39.75" customHeight="1" x14ac:dyDescent="0.2">
      <c r="B151" s="44" t="s">
        <v>599</v>
      </c>
      <c r="C151" s="45" t="s">
        <v>39</v>
      </c>
      <c r="D151" s="11" t="s">
        <v>24</v>
      </c>
      <c r="E151" s="59" t="s">
        <v>24</v>
      </c>
      <c r="F151" s="11" t="s">
        <v>81</v>
      </c>
      <c r="G151" s="11" t="s">
        <v>206</v>
      </c>
      <c r="H151" s="11" t="s">
        <v>258</v>
      </c>
      <c r="I151" s="11" t="s">
        <v>8</v>
      </c>
      <c r="J151" s="9" t="s">
        <v>255</v>
      </c>
      <c r="K151" s="11" t="s">
        <v>241</v>
      </c>
      <c r="L151" s="11" t="s">
        <v>261</v>
      </c>
      <c r="M151" s="46" t="s">
        <v>229</v>
      </c>
      <c r="N151" s="11" t="s">
        <v>60</v>
      </c>
      <c r="O151" s="11" t="s">
        <v>64</v>
      </c>
      <c r="P151" s="11" t="s">
        <v>591</v>
      </c>
      <c r="Q151" s="9" t="s">
        <v>53</v>
      </c>
      <c r="R151" s="10">
        <f t="shared" ref="R151" si="3">W151</f>
        <v>133800</v>
      </c>
      <c r="S151" s="42">
        <v>46086</v>
      </c>
      <c r="T151" s="42" t="s">
        <v>285</v>
      </c>
      <c r="U151" s="42" t="s">
        <v>285</v>
      </c>
      <c r="V151" s="43">
        <v>46387</v>
      </c>
      <c r="W151" s="91">
        <f>3540+26400+21600+2730+56450+880+4000+18200</f>
        <v>133800</v>
      </c>
      <c r="X151" s="47">
        <v>0</v>
      </c>
      <c r="Y151" s="57" t="s">
        <v>222</v>
      </c>
      <c r="Z151" s="58" t="s">
        <v>603</v>
      </c>
    </row>
    <row r="152" spans="2:26" s="63" customFormat="1" ht="72" x14ac:dyDescent="0.2">
      <c r="B152" s="44" t="s">
        <v>600</v>
      </c>
      <c r="C152" s="45" t="s">
        <v>38</v>
      </c>
      <c r="D152" s="11" t="s">
        <v>237</v>
      </c>
      <c r="E152" s="11" t="s">
        <v>237</v>
      </c>
      <c r="F152" s="11" t="s">
        <v>188</v>
      </c>
      <c r="G152" s="11" t="s">
        <v>200</v>
      </c>
      <c r="H152" s="11" t="s">
        <v>260</v>
      </c>
      <c r="I152" s="11" t="s">
        <v>9</v>
      </c>
      <c r="J152" s="9" t="s">
        <v>255</v>
      </c>
      <c r="K152" s="11" t="s">
        <v>246</v>
      </c>
      <c r="L152" s="11" t="s">
        <v>261</v>
      </c>
      <c r="M152" s="46" t="s">
        <v>583</v>
      </c>
      <c r="N152" s="11" t="s">
        <v>60</v>
      </c>
      <c r="O152" s="11" t="s">
        <v>66</v>
      </c>
      <c r="P152" s="9" t="s">
        <v>201</v>
      </c>
      <c r="Q152" s="9" t="s">
        <v>53</v>
      </c>
      <c r="R152" s="10">
        <f t="shared" ref="R152:R153" si="4">W152</f>
        <v>8905678.1600000001</v>
      </c>
      <c r="S152" s="43">
        <v>45809</v>
      </c>
      <c r="T152" s="43" t="s">
        <v>285</v>
      </c>
      <c r="U152" s="43" t="s">
        <v>285</v>
      </c>
      <c r="V152" s="43">
        <v>47634</v>
      </c>
      <c r="W152" s="91">
        <v>8905678.1600000001</v>
      </c>
      <c r="X152" s="47">
        <v>0</v>
      </c>
      <c r="Y152" s="57" t="s">
        <v>478</v>
      </c>
      <c r="Z152" s="58" t="s">
        <v>584</v>
      </c>
    </row>
    <row r="153" spans="2:26" ht="72" x14ac:dyDescent="0.2">
      <c r="B153" s="44" t="s">
        <v>601</v>
      </c>
      <c r="C153" s="45" t="s">
        <v>38</v>
      </c>
      <c r="D153" s="11" t="s">
        <v>237</v>
      </c>
      <c r="E153" s="59" t="s">
        <v>237</v>
      </c>
      <c r="F153" s="11" t="s">
        <v>188</v>
      </c>
      <c r="G153" s="11" t="s">
        <v>200</v>
      </c>
      <c r="H153" s="11" t="s">
        <v>260</v>
      </c>
      <c r="I153" s="11" t="s">
        <v>9</v>
      </c>
      <c r="J153" s="9" t="s">
        <v>255</v>
      </c>
      <c r="K153" s="11" t="s">
        <v>246</v>
      </c>
      <c r="L153" s="11" t="s">
        <v>261</v>
      </c>
      <c r="M153" s="46" t="s">
        <v>583</v>
      </c>
      <c r="N153" s="11" t="s">
        <v>60</v>
      </c>
      <c r="O153" s="67" t="s">
        <v>66</v>
      </c>
      <c r="P153" s="9" t="s">
        <v>412</v>
      </c>
      <c r="Q153" s="9" t="s">
        <v>53</v>
      </c>
      <c r="R153" s="10">
        <f t="shared" si="4"/>
        <v>1071059.8400000001</v>
      </c>
      <c r="S153" s="42">
        <v>45809</v>
      </c>
      <c r="T153" s="42" t="s">
        <v>285</v>
      </c>
      <c r="U153" s="42" t="s">
        <v>285</v>
      </c>
      <c r="V153" s="43">
        <v>47634</v>
      </c>
      <c r="W153" s="91">
        <v>1071059.8400000001</v>
      </c>
      <c r="X153" s="47">
        <v>0</v>
      </c>
      <c r="Y153" s="57" t="s">
        <v>478</v>
      </c>
      <c r="Z153" s="58" t="s">
        <v>584</v>
      </c>
    </row>
    <row r="154" spans="2:26" ht="24" customHeight="1" x14ac:dyDescent="0.2">
      <c r="B154" s="44" t="s">
        <v>606</v>
      </c>
      <c r="C154" s="45" t="s">
        <v>40</v>
      </c>
      <c r="D154" s="11" t="s">
        <v>21</v>
      </c>
      <c r="E154" s="11" t="s">
        <v>21</v>
      </c>
      <c r="F154" s="11" t="s">
        <v>80</v>
      </c>
      <c r="G154" s="11" t="s">
        <v>76</v>
      </c>
      <c r="H154" s="11" t="s">
        <v>258</v>
      </c>
      <c r="I154" s="11" t="s">
        <v>8</v>
      </c>
      <c r="J154" s="9" t="s">
        <v>255</v>
      </c>
      <c r="K154" s="11" t="s">
        <v>585</v>
      </c>
      <c r="L154" s="11" t="s">
        <v>261</v>
      </c>
      <c r="M154" s="46" t="s">
        <v>229</v>
      </c>
      <c r="N154" s="11" t="s">
        <v>35</v>
      </c>
      <c r="O154" s="67" t="s">
        <v>69</v>
      </c>
      <c r="P154" s="9" t="s">
        <v>586</v>
      </c>
      <c r="Q154" s="9" t="s">
        <v>51</v>
      </c>
      <c r="R154" s="10">
        <v>1</v>
      </c>
      <c r="S154" s="42">
        <v>46235</v>
      </c>
      <c r="T154" s="42" t="s">
        <v>285</v>
      </c>
      <c r="U154" s="42" t="s">
        <v>285</v>
      </c>
      <c r="V154" s="43">
        <v>46965</v>
      </c>
      <c r="W154" s="91">
        <v>118869.85</v>
      </c>
      <c r="X154" s="47">
        <v>198116.39</v>
      </c>
      <c r="Y154" s="58" t="s">
        <v>72</v>
      </c>
      <c r="Z154" s="58" t="s">
        <v>587</v>
      </c>
    </row>
    <row r="155" spans="2:26" ht="48" x14ac:dyDescent="0.2">
      <c r="B155" s="44" t="s">
        <v>607</v>
      </c>
      <c r="C155" s="45" t="s">
        <v>40</v>
      </c>
      <c r="D155" s="11" t="s">
        <v>14</v>
      </c>
      <c r="E155" s="11" t="s">
        <v>27</v>
      </c>
      <c r="F155" s="11" t="s">
        <v>78</v>
      </c>
      <c r="G155" s="11" t="s">
        <v>76</v>
      </c>
      <c r="H155" s="11" t="s">
        <v>258</v>
      </c>
      <c r="I155" s="11" t="s">
        <v>8</v>
      </c>
      <c r="J155" s="9" t="s">
        <v>255</v>
      </c>
      <c r="K155" s="9" t="s">
        <v>242</v>
      </c>
      <c r="L155" s="11" t="s">
        <v>261</v>
      </c>
      <c r="M155" s="46" t="s">
        <v>229</v>
      </c>
      <c r="N155" s="11" t="s">
        <v>35</v>
      </c>
      <c r="O155" s="67" t="s">
        <v>69</v>
      </c>
      <c r="P155" s="9" t="s">
        <v>596</v>
      </c>
      <c r="Q155" s="9" t="s">
        <v>51</v>
      </c>
      <c r="R155" s="10">
        <v>1</v>
      </c>
      <c r="S155" s="42">
        <v>46146</v>
      </c>
      <c r="T155" s="42" t="s">
        <v>285</v>
      </c>
      <c r="U155" s="42" t="s">
        <v>285</v>
      </c>
      <c r="V155" s="43">
        <v>46876</v>
      </c>
      <c r="W155" s="91">
        <f>12245+7755</f>
        <v>20000</v>
      </c>
      <c r="X155" s="47">
        <f>14694+86306</f>
        <v>101000</v>
      </c>
      <c r="Y155" s="58" t="s">
        <v>72</v>
      </c>
      <c r="Z155" s="58" t="s">
        <v>811</v>
      </c>
    </row>
    <row r="156" spans="2:26" ht="24" customHeight="1" x14ac:dyDescent="0.2">
      <c r="B156" s="44" t="s">
        <v>608</v>
      </c>
      <c r="C156" s="45" t="s">
        <v>40</v>
      </c>
      <c r="D156" s="11" t="s">
        <v>14</v>
      </c>
      <c r="E156" s="67" t="s">
        <v>27</v>
      </c>
      <c r="F156" s="67" t="s">
        <v>78</v>
      </c>
      <c r="G156" s="67" t="s">
        <v>76</v>
      </c>
      <c r="H156" s="67" t="s">
        <v>258</v>
      </c>
      <c r="I156" s="67" t="s">
        <v>8</v>
      </c>
      <c r="J156" s="67" t="s">
        <v>255</v>
      </c>
      <c r="K156" s="67" t="s">
        <v>245</v>
      </c>
      <c r="L156" s="67" t="s">
        <v>261</v>
      </c>
      <c r="M156" s="68" t="s">
        <v>229</v>
      </c>
      <c r="N156" s="67" t="s">
        <v>35</v>
      </c>
      <c r="O156" s="67" t="s">
        <v>69</v>
      </c>
      <c r="P156" s="67" t="s">
        <v>598</v>
      </c>
      <c r="Q156" s="67" t="s">
        <v>51</v>
      </c>
      <c r="R156" s="76">
        <v>1</v>
      </c>
      <c r="S156" s="70">
        <v>46146</v>
      </c>
      <c r="T156" s="70" t="s">
        <v>285</v>
      </c>
      <c r="U156" s="70" t="s">
        <v>285</v>
      </c>
      <c r="V156" s="70">
        <v>46161</v>
      </c>
      <c r="W156" s="91">
        <f>1021+406.6+885.7</f>
        <v>2313.3000000000002</v>
      </c>
      <c r="X156" s="47">
        <v>0</v>
      </c>
      <c r="Y156" s="58" t="s">
        <v>417</v>
      </c>
      <c r="Z156" s="58" t="s">
        <v>711</v>
      </c>
    </row>
    <row r="157" spans="2:26" ht="24" customHeight="1" x14ac:dyDescent="0.2">
      <c r="B157" s="44" t="s">
        <v>610</v>
      </c>
      <c r="C157" s="45" t="s">
        <v>495</v>
      </c>
      <c r="D157" s="11" t="s">
        <v>496</v>
      </c>
      <c r="E157" s="59" t="s">
        <v>496</v>
      </c>
      <c r="F157" s="11" t="s">
        <v>79</v>
      </c>
      <c r="G157" s="11" t="s">
        <v>76</v>
      </c>
      <c r="H157" s="11" t="s">
        <v>258</v>
      </c>
      <c r="I157" s="11" t="s">
        <v>8</v>
      </c>
      <c r="J157" s="11" t="s">
        <v>255</v>
      </c>
      <c r="K157" s="9" t="s">
        <v>242</v>
      </c>
      <c r="L157" s="11" t="s">
        <v>540</v>
      </c>
      <c r="M157" s="46" t="s">
        <v>541</v>
      </c>
      <c r="N157" s="11" t="s">
        <v>35</v>
      </c>
      <c r="O157" s="67" t="s">
        <v>69</v>
      </c>
      <c r="P157" s="9" t="s">
        <v>497</v>
      </c>
      <c r="Q157" s="11" t="s">
        <v>41</v>
      </c>
      <c r="R157" s="10">
        <v>2</v>
      </c>
      <c r="S157" s="42">
        <v>46266</v>
      </c>
      <c r="T157" s="42" t="s">
        <v>285</v>
      </c>
      <c r="U157" s="42" t="s">
        <v>285</v>
      </c>
      <c r="V157" s="42" t="s">
        <v>285</v>
      </c>
      <c r="W157" s="91">
        <v>2160</v>
      </c>
      <c r="X157" s="47">
        <v>0</v>
      </c>
      <c r="Y157" s="58" t="s">
        <v>72</v>
      </c>
      <c r="Z157" s="58" t="s">
        <v>542</v>
      </c>
    </row>
    <row r="158" spans="2:26" ht="24" customHeight="1" x14ac:dyDescent="0.2">
      <c r="B158" s="44" t="s">
        <v>611</v>
      </c>
      <c r="C158" s="45" t="s">
        <v>38</v>
      </c>
      <c r="D158" s="11" t="s">
        <v>498</v>
      </c>
      <c r="E158" s="59" t="s">
        <v>498</v>
      </c>
      <c r="F158" s="11" t="s">
        <v>79</v>
      </c>
      <c r="G158" s="11" t="s">
        <v>76</v>
      </c>
      <c r="H158" s="11" t="s">
        <v>258</v>
      </c>
      <c r="I158" s="11" t="s">
        <v>8</v>
      </c>
      <c r="J158" s="11" t="s">
        <v>255</v>
      </c>
      <c r="K158" s="9" t="s">
        <v>242</v>
      </c>
      <c r="L158" s="11" t="s">
        <v>540</v>
      </c>
      <c r="M158" s="46" t="s">
        <v>541</v>
      </c>
      <c r="N158" s="11" t="s">
        <v>35</v>
      </c>
      <c r="O158" s="11" t="s">
        <v>69</v>
      </c>
      <c r="P158" s="9" t="s">
        <v>499</v>
      </c>
      <c r="Q158" s="11" t="s">
        <v>41</v>
      </c>
      <c r="R158" s="10">
        <v>1</v>
      </c>
      <c r="S158" s="42">
        <v>46143</v>
      </c>
      <c r="T158" s="42" t="s">
        <v>285</v>
      </c>
      <c r="U158" s="42" t="s">
        <v>285</v>
      </c>
      <c r="V158" s="42" t="s">
        <v>285</v>
      </c>
      <c r="W158" s="91">
        <f>1500-910</f>
        <v>590</v>
      </c>
      <c r="X158" s="47">
        <v>0</v>
      </c>
      <c r="Y158" s="58" t="s">
        <v>72</v>
      </c>
      <c r="Z158" s="58" t="s">
        <v>770</v>
      </c>
    </row>
    <row r="159" spans="2:26" ht="24" customHeight="1" x14ac:dyDescent="0.2">
      <c r="B159" s="48" t="s">
        <v>612</v>
      </c>
      <c r="C159" s="49" t="s">
        <v>38</v>
      </c>
      <c r="D159" s="50" t="s">
        <v>498</v>
      </c>
      <c r="E159" s="74" t="s">
        <v>498</v>
      </c>
      <c r="F159" s="50" t="s">
        <v>79</v>
      </c>
      <c r="G159" s="50" t="s">
        <v>76</v>
      </c>
      <c r="H159" s="50" t="s">
        <v>258</v>
      </c>
      <c r="I159" s="50" t="s">
        <v>8</v>
      </c>
      <c r="J159" s="50" t="s">
        <v>255</v>
      </c>
      <c r="K159" s="51" t="s">
        <v>242</v>
      </c>
      <c r="L159" s="50" t="s">
        <v>540</v>
      </c>
      <c r="M159" s="52" t="s">
        <v>541</v>
      </c>
      <c r="N159" s="50" t="s">
        <v>35</v>
      </c>
      <c r="O159" s="50" t="s">
        <v>69</v>
      </c>
      <c r="P159" s="51" t="s">
        <v>499</v>
      </c>
      <c r="Q159" s="50" t="s">
        <v>41</v>
      </c>
      <c r="R159" s="53">
        <v>2</v>
      </c>
      <c r="S159" s="75">
        <v>46235</v>
      </c>
      <c r="T159" s="75" t="s">
        <v>285</v>
      </c>
      <c r="U159" s="75" t="s">
        <v>285</v>
      </c>
      <c r="V159" s="75" t="s">
        <v>285</v>
      </c>
      <c r="W159" s="92">
        <f>10000-7780-2220</f>
        <v>0</v>
      </c>
      <c r="X159" s="55">
        <v>0</v>
      </c>
      <c r="Y159" s="86" t="s">
        <v>72</v>
      </c>
      <c r="Z159" s="58" t="s">
        <v>812</v>
      </c>
    </row>
    <row r="160" spans="2:26" ht="24" customHeight="1" x14ac:dyDescent="0.2">
      <c r="B160" s="48" t="s">
        <v>613</v>
      </c>
      <c r="C160" s="49" t="s">
        <v>38</v>
      </c>
      <c r="D160" s="50" t="s">
        <v>498</v>
      </c>
      <c r="E160" s="74" t="s">
        <v>498</v>
      </c>
      <c r="F160" s="50" t="s">
        <v>79</v>
      </c>
      <c r="G160" s="50" t="s">
        <v>76</v>
      </c>
      <c r="H160" s="50" t="s">
        <v>258</v>
      </c>
      <c r="I160" s="50" t="s">
        <v>8</v>
      </c>
      <c r="J160" s="50" t="s">
        <v>255</v>
      </c>
      <c r="K160" s="51" t="s">
        <v>242</v>
      </c>
      <c r="L160" s="50" t="s">
        <v>540</v>
      </c>
      <c r="M160" s="52" t="s">
        <v>541</v>
      </c>
      <c r="N160" s="50" t="s">
        <v>35</v>
      </c>
      <c r="O160" s="50" t="s">
        <v>69</v>
      </c>
      <c r="P160" s="51" t="s">
        <v>499</v>
      </c>
      <c r="Q160" s="50" t="s">
        <v>41</v>
      </c>
      <c r="R160" s="53">
        <v>1</v>
      </c>
      <c r="S160" s="75">
        <v>46296</v>
      </c>
      <c r="T160" s="75" t="s">
        <v>285</v>
      </c>
      <c r="U160" s="75" t="s">
        <v>285</v>
      </c>
      <c r="V160" s="75" t="s">
        <v>285</v>
      </c>
      <c r="W160" s="92">
        <f>1500-1500</f>
        <v>0</v>
      </c>
      <c r="X160" s="55">
        <v>0</v>
      </c>
      <c r="Y160" s="86" t="s">
        <v>72</v>
      </c>
      <c r="Z160" s="58" t="s">
        <v>813</v>
      </c>
    </row>
    <row r="161" spans="2:26" ht="36" x14ac:dyDescent="0.2">
      <c r="B161" s="48" t="s">
        <v>614</v>
      </c>
      <c r="C161" s="49" t="s">
        <v>39</v>
      </c>
      <c r="D161" s="50" t="s">
        <v>500</v>
      </c>
      <c r="E161" s="74" t="s">
        <v>500</v>
      </c>
      <c r="F161" s="50" t="s">
        <v>79</v>
      </c>
      <c r="G161" s="50" t="s">
        <v>76</v>
      </c>
      <c r="H161" s="50" t="s">
        <v>258</v>
      </c>
      <c r="I161" s="50" t="s">
        <v>8</v>
      </c>
      <c r="J161" s="50" t="s">
        <v>255</v>
      </c>
      <c r="K161" s="51" t="s">
        <v>242</v>
      </c>
      <c r="L161" s="50" t="s">
        <v>540</v>
      </c>
      <c r="M161" s="52" t="s">
        <v>541</v>
      </c>
      <c r="N161" s="50" t="s">
        <v>35</v>
      </c>
      <c r="O161" s="50" t="s">
        <v>69</v>
      </c>
      <c r="P161" s="51" t="s">
        <v>501</v>
      </c>
      <c r="Q161" s="84" t="s">
        <v>41</v>
      </c>
      <c r="R161" s="88">
        <v>1</v>
      </c>
      <c r="S161" s="85">
        <v>46242</v>
      </c>
      <c r="T161" s="85" t="s">
        <v>285</v>
      </c>
      <c r="U161" s="75" t="s">
        <v>285</v>
      </c>
      <c r="V161" s="75" t="s">
        <v>285</v>
      </c>
      <c r="W161" s="92">
        <f>1000-1000</f>
        <v>0</v>
      </c>
      <c r="X161" s="55">
        <v>0</v>
      </c>
      <c r="Y161" s="86" t="s">
        <v>72</v>
      </c>
      <c r="Z161" s="58" t="s">
        <v>716</v>
      </c>
    </row>
    <row r="162" spans="2:26" ht="36" x14ac:dyDescent="0.2">
      <c r="B162" s="44" t="s">
        <v>615</v>
      </c>
      <c r="C162" s="45" t="s">
        <v>40</v>
      </c>
      <c r="D162" s="11" t="s">
        <v>14</v>
      </c>
      <c r="E162" s="59" t="s">
        <v>502</v>
      </c>
      <c r="F162" s="11" t="s">
        <v>79</v>
      </c>
      <c r="G162" s="11" t="s">
        <v>76</v>
      </c>
      <c r="H162" s="11" t="s">
        <v>258</v>
      </c>
      <c r="I162" s="11" t="s">
        <v>8</v>
      </c>
      <c r="J162" s="11" t="s">
        <v>255</v>
      </c>
      <c r="K162" s="9" t="s">
        <v>242</v>
      </c>
      <c r="L162" s="11" t="s">
        <v>540</v>
      </c>
      <c r="M162" s="46" t="s">
        <v>541</v>
      </c>
      <c r="N162" s="11" t="s">
        <v>35</v>
      </c>
      <c r="O162" s="11" t="s">
        <v>69</v>
      </c>
      <c r="P162" s="9" t="s">
        <v>503</v>
      </c>
      <c r="Q162" s="9" t="s">
        <v>41</v>
      </c>
      <c r="R162" s="76">
        <v>2</v>
      </c>
      <c r="S162" s="70">
        <v>46204</v>
      </c>
      <c r="T162" s="42" t="s">
        <v>285</v>
      </c>
      <c r="U162" s="70" t="s">
        <v>285</v>
      </c>
      <c r="V162" s="70" t="s">
        <v>285</v>
      </c>
      <c r="W162" s="91">
        <v>4580</v>
      </c>
      <c r="X162" s="47">
        <v>0</v>
      </c>
      <c r="Y162" s="58" t="s">
        <v>72</v>
      </c>
      <c r="Z162" s="58" t="s">
        <v>542</v>
      </c>
    </row>
    <row r="163" spans="2:26" ht="24" customHeight="1" x14ac:dyDescent="0.2">
      <c r="B163" s="44" t="s">
        <v>616</v>
      </c>
      <c r="C163" s="45" t="s">
        <v>38</v>
      </c>
      <c r="D163" s="11" t="s">
        <v>15</v>
      </c>
      <c r="E163" s="59" t="s">
        <v>30</v>
      </c>
      <c r="F163" s="11" t="s">
        <v>79</v>
      </c>
      <c r="G163" s="11" t="s">
        <v>189</v>
      </c>
      <c r="H163" s="11" t="s">
        <v>258</v>
      </c>
      <c r="I163" s="11" t="s">
        <v>8</v>
      </c>
      <c r="J163" s="9" t="s">
        <v>256</v>
      </c>
      <c r="K163" s="11" t="s">
        <v>242</v>
      </c>
      <c r="L163" s="11" t="s">
        <v>540</v>
      </c>
      <c r="M163" s="46" t="s">
        <v>541</v>
      </c>
      <c r="N163" s="11" t="s">
        <v>35</v>
      </c>
      <c r="O163" s="11" t="s">
        <v>65</v>
      </c>
      <c r="P163" s="9" t="s">
        <v>543</v>
      </c>
      <c r="Q163" s="9" t="s">
        <v>41</v>
      </c>
      <c r="R163" s="76">
        <v>21</v>
      </c>
      <c r="S163" s="70">
        <v>46143</v>
      </c>
      <c r="T163" s="42" t="s">
        <v>285</v>
      </c>
      <c r="U163" s="70" t="s">
        <v>285</v>
      </c>
      <c r="V163" s="70">
        <v>46387</v>
      </c>
      <c r="W163" s="91">
        <v>2550</v>
      </c>
      <c r="X163" s="47">
        <v>0</v>
      </c>
      <c r="Y163" s="58" t="s">
        <v>72</v>
      </c>
      <c r="Z163" s="58" t="s">
        <v>542</v>
      </c>
    </row>
    <row r="164" spans="2:26" ht="24" customHeight="1" x14ac:dyDescent="0.2">
      <c r="B164" s="44" t="s">
        <v>617</v>
      </c>
      <c r="C164" s="45" t="s">
        <v>38</v>
      </c>
      <c r="D164" s="11" t="s">
        <v>15</v>
      </c>
      <c r="E164" s="59" t="s">
        <v>30</v>
      </c>
      <c r="F164" s="11" t="s">
        <v>79</v>
      </c>
      <c r="G164" s="11" t="s">
        <v>189</v>
      </c>
      <c r="H164" s="11" t="s">
        <v>258</v>
      </c>
      <c r="I164" s="11" t="s">
        <v>8</v>
      </c>
      <c r="J164" s="11" t="s">
        <v>255</v>
      </c>
      <c r="K164" s="11" t="s">
        <v>253</v>
      </c>
      <c r="L164" s="11" t="s">
        <v>540</v>
      </c>
      <c r="M164" s="46" t="s">
        <v>541</v>
      </c>
      <c r="N164" s="11" t="s">
        <v>35</v>
      </c>
      <c r="O164" s="11" t="s">
        <v>65</v>
      </c>
      <c r="P164" s="9" t="s">
        <v>544</v>
      </c>
      <c r="Q164" s="9" t="s">
        <v>53</v>
      </c>
      <c r="R164" s="76">
        <f>W164</f>
        <v>7778</v>
      </c>
      <c r="S164" s="70">
        <v>46143</v>
      </c>
      <c r="T164" s="42" t="s">
        <v>285</v>
      </c>
      <c r="U164" s="70" t="s">
        <v>285</v>
      </c>
      <c r="V164" s="70">
        <v>46387</v>
      </c>
      <c r="W164" s="91">
        <v>7778</v>
      </c>
      <c r="X164" s="47">
        <v>0</v>
      </c>
      <c r="Y164" s="58" t="s">
        <v>72</v>
      </c>
      <c r="Z164" s="58" t="s">
        <v>542</v>
      </c>
    </row>
    <row r="165" spans="2:26" ht="24" customHeight="1" x14ac:dyDescent="0.2">
      <c r="B165" s="44" t="s">
        <v>618</v>
      </c>
      <c r="C165" s="45" t="s">
        <v>38</v>
      </c>
      <c r="D165" s="11" t="s">
        <v>15</v>
      </c>
      <c r="E165" s="59" t="s">
        <v>30</v>
      </c>
      <c r="F165" s="11" t="s">
        <v>79</v>
      </c>
      <c r="G165" s="11" t="s">
        <v>189</v>
      </c>
      <c r="H165" s="11" t="s">
        <v>258</v>
      </c>
      <c r="I165" s="11" t="s">
        <v>8</v>
      </c>
      <c r="J165" s="11" t="s">
        <v>255</v>
      </c>
      <c r="K165" s="9" t="s">
        <v>252</v>
      </c>
      <c r="L165" s="11" t="s">
        <v>540</v>
      </c>
      <c r="M165" s="46" t="s">
        <v>541</v>
      </c>
      <c r="N165" s="11" t="s">
        <v>35</v>
      </c>
      <c r="O165" s="11" t="s">
        <v>65</v>
      </c>
      <c r="P165" s="9" t="s">
        <v>545</v>
      </c>
      <c r="Q165" s="9" t="s">
        <v>45</v>
      </c>
      <c r="R165" s="76">
        <v>100</v>
      </c>
      <c r="S165" s="70">
        <v>46143</v>
      </c>
      <c r="T165" s="42" t="s">
        <v>285</v>
      </c>
      <c r="U165" s="70" t="s">
        <v>285</v>
      </c>
      <c r="V165" s="70">
        <v>46387</v>
      </c>
      <c r="W165" s="91">
        <v>35000</v>
      </c>
      <c r="X165" s="47">
        <v>0</v>
      </c>
      <c r="Y165" s="58" t="s">
        <v>72</v>
      </c>
      <c r="Z165" s="58" t="s">
        <v>542</v>
      </c>
    </row>
    <row r="166" spans="2:26" ht="36" x14ac:dyDescent="0.2">
      <c r="B166" s="48" t="s">
        <v>619</v>
      </c>
      <c r="C166" s="49" t="s">
        <v>38</v>
      </c>
      <c r="D166" s="50" t="s">
        <v>15</v>
      </c>
      <c r="E166" s="74" t="s">
        <v>504</v>
      </c>
      <c r="F166" s="50" t="s">
        <v>79</v>
      </c>
      <c r="G166" s="50" t="s">
        <v>76</v>
      </c>
      <c r="H166" s="50" t="s">
        <v>258</v>
      </c>
      <c r="I166" s="50" t="s">
        <v>8</v>
      </c>
      <c r="J166" s="50" t="s">
        <v>255</v>
      </c>
      <c r="K166" s="51" t="s">
        <v>242</v>
      </c>
      <c r="L166" s="50" t="s">
        <v>540</v>
      </c>
      <c r="M166" s="52" t="s">
        <v>541</v>
      </c>
      <c r="N166" s="84" t="s">
        <v>35</v>
      </c>
      <c r="O166" s="50" t="s">
        <v>69</v>
      </c>
      <c r="P166" s="51" t="s">
        <v>505</v>
      </c>
      <c r="Q166" s="51" t="s">
        <v>41</v>
      </c>
      <c r="R166" s="88">
        <v>3</v>
      </c>
      <c r="S166" s="85">
        <v>46143</v>
      </c>
      <c r="T166" s="75" t="s">
        <v>285</v>
      </c>
      <c r="U166" s="75" t="s">
        <v>285</v>
      </c>
      <c r="V166" s="75" t="s">
        <v>285</v>
      </c>
      <c r="W166" s="92">
        <f>12870-12870</f>
        <v>0</v>
      </c>
      <c r="X166" s="55">
        <v>0</v>
      </c>
      <c r="Y166" s="86" t="s">
        <v>72</v>
      </c>
      <c r="Z166" s="58" t="s">
        <v>814</v>
      </c>
    </row>
    <row r="167" spans="2:26" ht="24" customHeight="1" x14ac:dyDescent="0.2">
      <c r="B167" s="44" t="s">
        <v>620</v>
      </c>
      <c r="C167" s="45" t="s">
        <v>40</v>
      </c>
      <c r="D167" s="11" t="s">
        <v>506</v>
      </c>
      <c r="E167" s="59" t="s">
        <v>506</v>
      </c>
      <c r="F167" s="11" t="s">
        <v>79</v>
      </c>
      <c r="G167" s="11" t="s">
        <v>76</v>
      </c>
      <c r="H167" s="11" t="s">
        <v>258</v>
      </c>
      <c r="I167" s="11" t="s">
        <v>8</v>
      </c>
      <c r="J167" s="11" t="s">
        <v>255</v>
      </c>
      <c r="K167" s="9" t="s">
        <v>242</v>
      </c>
      <c r="L167" s="11" t="s">
        <v>540</v>
      </c>
      <c r="M167" s="46" t="s">
        <v>541</v>
      </c>
      <c r="N167" s="67" t="s">
        <v>35</v>
      </c>
      <c r="O167" s="11" t="s">
        <v>69</v>
      </c>
      <c r="P167" s="9" t="s">
        <v>507</v>
      </c>
      <c r="Q167" s="9" t="s">
        <v>41</v>
      </c>
      <c r="R167" s="76">
        <v>2</v>
      </c>
      <c r="S167" s="70">
        <v>46260</v>
      </c>
      <c r="T167" s="42" t="s">
        <v>285</v>
      </c>
      <c r="U167" s="42" t="s">
        <v>285</v>
      </c>
      <c r="V167" s="42" t="s">
        <v>285</v>
      </c>
      <c r="W167" s="91">
        <v>9580</v>
      </c>
      <c r="X167" s="47">
        <v>0</v>
      </c>
      <c r="Y167" s="58" t="s">
        <v>72</v>
      </c>
      <c r="Z167" s="58" t="s">
        <v>542</v>
      </c>
    </row>
    <row r="168" spans="2:26" ht="24" customHeight="1" x14ac:dyDescent="0.2">
      <c r="B168" s="44" t="s">
        <v>621</v>
      </c>
      <c r="C168" s="45" t="s">
        <v>40</v>
      </c>
      <c r="D168" s="11" t="s">
        <v>506</v>
      </c>
      <c r="E168" s="59" t="s">
        <v>506</v>
      </c>
      <c r="F168" s="11" t="s">
        <v>79</v>
      </c>
      <c r="G168" s="11" t="s">
        <v>85</v>
      </c>
      <c r="H168" s="11" t="s">
        <v>258</v>
      </c>
      <c r="I168" s="11" t="s">
        <v>8</v>
      </c>
      <c r="J168" s="11" t="s">
        <v>255</v>
      </c>
      <c r="K168" s="9" t="s">
        <v>242</v>
      </c>
      <c r="L168" s="11" t="s">
        <v>540</v>
      </c>
      <c r="M168" s="46" t="s">
        <v>541</v>
      </c>
      <c r="N168" s="67" t="s">
        <v>35</v>
      </c>
      <c r="O168" s="11" t="s">
        <v>69</v>
      </c>
      <c r="P168" s="9" t="s">
        <v>508</v>
      </c>
      <c r="Q168" s="9" t="s">
        <v>41</v>
      </c>
      <c r="R168" s="76">
        <v>4</v>
      </c>
      <c r="S168" s="70">
        <v>46126</v>
      </c>
      <c r="T168" s="42" t="s">
        <v>285</v>
      </c>
      <c r="U168" s="42" t="s">
        <v>285</v>
      </c>
      <c r="V168" s="42" t="s">
        <v>285</v>
      </c>
      <c r="W168" s="91">
        <v>19160</v>
      </c>
      <c r="X168" s="47">
        <v>0</v>
      </c>
      <c r="Y168" s="58" t="s">
        <v>72</v>
      </c>
      <c r="Z168" s="58" t="s">
        <v>542</v>
      </c>
    </row>
    <row r="169" spans="2:26" ht="24" x14ac:dyDescent="0.2">
      <c r="B169" s="44" t="s">
        <v>622</v>
      </c>
      <c r="C169" s="45" t="s">
        <v>40</v>
      </c>
      <c r="D169" s="11" t="s">
        <v>19</v>
      </c>
      <c r="E169" s="59" t="s">
        <v>19</v>
      </c>
      <c r="F169" s="11" t="s">
        <v>79</v>
      </c>
      <c r="G169" s="11" t="s">
        <v>85</v>
      </c>
      <c r="H169" s="11" t="s">
        <v>258</v>
      </c>
      <c r="I169" s="11" t="s">
        <v>8</v>
      </c>
      <c r="J169" s="11" t="s">
        <v>255</v>
      </c>
      <c r="K169" s="9" t="s">
        <v>242</v>
      </c>
      <c r="L169" s="11" t="s">
        <v>540</v>
      </c>
      <c r="M169" s="46" t="s">
        <v>541</v>
      </c>
      <c r="N169" s="67" t="s">
        <v>35</v>
      </c>
      <c r="O169" s="11" t="s">
        <v>69</v>
      </c>
      <c r="P169" s="9" t="s">
        <v>509</v>
      </c>
      <c r="Q169" s="9" t="s">
        <v>41</v>
      </c>
      <c r="R169" s="76">
        <v>2</v>
      </c>
      <c r="S169" s="70">
        <v>46286</v>
      </c>
      <c r="T169" s="42" t="s">
        <v>285</v>
      </c>
      <c r="U169" s="42" t="s">
        <v>285</v>
      </c>
      <c r="V169" s="42"/>
      <c r="W169" s="91">
        <f>8180+800</f>
        <v>8980</v>
      </c>
      <c r="X169" s="47">
        <v>0</v>
      </c>
      <c r="Y169" s="58" t="s">
        <v>72</v>
      </c>
      <c r="Z169" s="58" t="s">
        <v>815</v>
      </c>
    </row>
    <row r="170" spans="2:26" ht="24" customHeight="1" x14ac:dyDescent="0.2">
      <c r="B170" s="44" t="s">
        <v>623</v>
      </c>
      <c r="C170" s="45" t="s">
        <v>38</v>
      </c>
      <c r="D170" s="11" t="s">
        <v>16</v>
      </c>
      <c r="E170" s="59" t="s">
        <v>16</v>
      </c>
      <c r="F170" s="11" t="s">
        <v>79</v>
      </c>
      <c r="G170" s="11" t="s">
        <v>76</v>
      </c>
      <c r="H170" s="11" t="s">
        <v>258</v>
      </c>
      <c r="I170" s="11" t="s">
        <v>8</v>
      </c>
      <c r="J170" s="11" t="s">
        <v>255</v>
      </c>
      <c r="K170" s="9" t="s">
        <v>242</v>
      </c>
      <c r="L170" s="11" t="s">
        <v>540</v>
      </c>
      <c r="M170" s="46" t="s">
        <v>541</v>
      </c>
      <c r="N170" s="67" t="s">
        <v>35</v>
      </c>
      <c r="O170" s="11" t="s">
        <v>69</v>
      </c>
      <c r="P170" s="9" t="s">
        <v>510</v>
      </c>
      <c r="Q170" s="9" t="s">
        <v>41</v>
      </c>
      <c r="R170" s="76">
        <v>15</v>
      </c>
      <c r="S170" s="70">
        <v>46143</v>
      </c>
      <c r="T170" s="42" t="s">
        <v>285</v>
      </c>
      <c r="U170" s="42" t="s">
        <v>285</v>
      </c>
      <c r="V170" s="42" t="s">
        <v>285</v>
      </c>
      <c r="W170" s="91">
        <v>6000</v>
      </c>
      <c r="X170" s="47">
        <v>0</v>
      </c>
      <c r="Y170" s="58" t="s">
        <v>72</v>
      </c>
      <c r="Z170" s="58" t="s">
        <v>542</v>
      </c>
    </row>
    <row r="171" spans="2:26" ht="36" x14ac:dyDescent="0.2">
      <c r="B171" s="44" t="s">
        <v>624</v>
      </c>
      <c r="C171" s="45" t="s">
        <v>38</v>
      </c>
      <c r="D171" s="11" t="s">
        <v>16</v>
      </c>
      <c r="E171" s="59" t="s">
        <v>16</v>
      </c>
      <c r="F171" s="11" t="s">
        <v>79</v>
      </c>
      <c r="G171" s="11" t="s">
        <v>76</v>
      </c>
      <c r="H171" s="11" t="s">
        <v>258</v>
      </c>
      <c r="I171" s="11" t="s">
        <v>8</v>
      </c>
      <c r="J171" s="11" t="s">
        <v>255</v>
      </c>
      <c r="K171" s="9" t="s">
        <v>242</v>
      </c>
      <c r="L171" s="11" t="s">
        <v>540</v>
      </c>
      <c r="M171" s="46" t="s">
        <v>541</v>
      </c>
      <c r="N171" s="67" t="s">
        <v>35</v>
      </c>
      <c r="O171" s="11" t="s">
        <v>69</v>
      </c>
      <c r="P171" s="9" t="s">
        <v>511</v>
      </c>
      <c r="Q171" s="9" t="s">
        <v>41</v>
      </c>
      <c r="R171" s="76">
        <v>20</v>
      </c>
      <c r="S171" s="70">
        <v>46174</v>
      </c>
      <c r="T171" s="42" t="s">
        <v>285</v>
      </c>
      <c r="U171" s="42" t="s">
        <v>285</v>
      </c>
      <c r="V171" s="42" t="s">
        <v>285</v>
      </c>
      <c r="W171" s="91">
        <f>30000-5328-732</f>
        <v>23940</v>
      </c>
      <c r="X171" s="47">
        <v>0</v>
      </c>
      <c r="Y171" s="58" t="s">
        <v>72</v>
      </c>
      <c r="Z171" s="58" t="s">
        <v>764</v>
      </c>
    </row>
    <row r="172" spans="2:26" ht="36" x14ac:dyDescent="0.2">
      <c r="B172" s="48" t="s">
        <v>625</v>
      </c>
      <c r="C172" s="49" t="s">
        <v>38</v>
      </c>
      <c r="D172" s="50" t="s">
        <v>16</v>
      </c>
      <c r="E172" s="74" t="s">
        <v>16</v>
      </c>
      <c r="F172" s="50" t="s">
        <v>79</v>
      </c>
      <c r="G172" s="50" t="s">
        <v>76</v>
      </c>
      <c r="H172" s="50" t="s">
        <v>258</v>
      </c>
      <c r="I172" s="50" t="s">
        <v>8</v>
      </c>
      <c r="J172" s="50" t="s">
        <v>255</v>
      </c>
      <c r="K172" s="51" t="s">
        <v>242</v>
      </c>
      <c r="L172" s="50" t="s">
        <v>540</v>
      </c>
      <c r="M172" s="52" t="s">
        <v>541</v>
      </c>
      <c r="N172" s="84" t="s">
        <v>35</v>
      </c>
      <c r="O172" s="50" t="s">
        <v>69</v>
      </c>
      <c r="P172" s="51" t="s">
        <v>512</v>
      </c>
      <c r="Q172" s="51" t="s">
        <v>41</v>
      </c>
      <c r="R172" s="88">
        <v>2</v>
      </c>
      <c r="S172" s="85">
        <v>46235</v>
      </c>
      <c r="T172" s="85" t="s">
        <v>285</v>
      </c>
      <c r="U172" s="85" t="s">
        <v>285</v>
      </c>
      <c r="V172" s="85" t="s">
        <v>285</v>
      </c>
      <c r="W172" s="92">
        <f>10000-10000</f>
        <v>0</v>
      </c>
      <c r="X172" s="55">
        <v>0</v>
      </c>
      <c r="Y172" s="86" t="s">
        <v>72</v>
      </c>
      <c r="Z172" s="58" t="s">
        <v>754</v>
      </c>
    </row>
    <row r="173" spans="2:26" ht="24" customHeight="1" x14ac:dyDescent="0.2">
      <c r="B173" s="44" t="s">
        <v>626</v>
      </c>
      <c r="C173" s="45" t="s">
        <v>38</v>
      </c>
      <c r="D173" s="11" t="s">
        <v>16</v>
      </c>
      <c r="E173" s="59" t="s">
        <v>16</v>
      </c>
      <c r="F173" s="11" t="s">
        <v>79</v>
      </c>
      <c r="G173" s="11" t="s">
        <v>76</v>
      </c>
      <c r="H173" s="11" t="s">
        <v>258</v>
      </c>
      <c r="I173" s="11" t="s">
        <v>8</v>
      </c>
      <c r="J173" s="11" t="s">
        <v>255</v>
      </c>
      <c r="K173" s="9" t="s">
        <v>252</v>
      </c>
      <c r="L173" s="11" t="s">
        <v>540</v>
      </c>
      <c r="M173" s="46" t="s">
        <v>541</v>
      </c>
      <c r="N173" s="11" t="s">
        <v>35</v>
      </c>
      <c r="O173" s="11" t="s">
        <v>65</v>
      </c>
      <c r="P173" s="9" t="s">
        <v>546</v>
      </c>
      <c r="Q173" s="9" t="s">
        <v>45</v>
      </c>
      <c r="R173" s="76">
        <v>40</v>
      </c>
      <c r="S173" s="70">
        <v>46143</v>
      </c>
      <c r="T173" s="70" t="s">
        <v>285</v>
      </c>
      <c r="U173" s="70" t="s">
        <v>285</v>
      </c>
      <c r="V173" s="70">
        <v>46266</v>
      </c>
      <c r="W173" s="91">
        <v>20000</v>
      </c>
      <c r="X173" s="47">
        <v>0</v>
      </c>
      <c r="Y173" s="58" t="s">
        <v>72</v>
      </c>
      <c r="Z173" s="58" t="s">
        <v>542</v>
      </c>
    </row>
    <row r="174" spans="2:26" ht="36" x14ac:dyDescent="0.2">
      <c r="B174" s="48" t="s">
        <v>627</v>
      </c>
      <c r="C174" s="49" t="s">
        <v>38</v>
      </c>
      <c r="D174" s="50" t="s">
        <v>16</v>
      </c>
      <c r="E174" s="74" t="s">
        <v>16</v>
      </c>
      <c r="F174" s="50" t="s">
        <v>79</v>
      </c>
      <c r="G174" s="50" t="s">
        <v>76</v>
      </c>
      <c r="H174" s="50" t="s">
        <v>258</v>
      </c>
      <c r="I174" s="50" t="s">
        <v>8</v>
      </c>
      <c r="J174" s="50" t="s">
        <v>255</v>
      </c>
      <c r="K174" s="51" t="s">
        <v>252</v>
      </c>
      <c r="L174" s="50" t="s">
        <v>540</v>
      </c>
      <c r="M174" s="52" t="s">
        <v>541</v>
      </c>
      <c r="N174" s="50" t="s">
        <v>35</v>
      </c>
      <c r="O174" s="50" t="s">
        <v>65</v>
      </c>
      <c r="P174" s="51" t="s">
        <v>547</v>
      </c>
      <c r="Q174" s="51" t="s">
        <v>45</v>
      </c>
      <c r="R174" s="88">
        <v>50</v>
      </c>
      <c r="S174" s="85">
        <v>46204</v>
      </c>
      <c r="T174" s="85" t="s">
        <v>285</v>
      </c>
      <c r="U174" s="85" t="s">
        <v>285</v>
      </c>
      <c r="V174" s="85">
        <v>46387</v>
      </c>
      <c r="W174" s="92">
        <f>20000-12077-2415-1920-1920-1668</f>
        <v>0</v>
      </c>
      <c r="X174" s="55">
        <v>0</v>
      </c>
      <c r="Y174" s="86" t="s">
        <v>72</v>
      </c>
      <c r="Z174" s="58" t="s">
        <v>765</v>
      </c>
    </row>
    <row r="175" spans="2:26" ht="48" x14ac:dyDescent="0.2">
      <c r="B175" s="48" t="s">
        <v>628</v>
      </c>
      <c r="C175" s="49" t="s">
        <v>38</v>
      </c>
      <c r="D175" s="50" t="s">
        <v>16</v>
      </c>
      <c r="E175" s="74" t="s">
        <v>16</v>
      </c>
      <c r="F175" s="50" t="s">
        <v>79</v>
      </c>
      <c r="G175" s="50" t="s">
        <v>76</v>
      </c>
      <c r="H175" s="50" t="s">
        <v>258</v>
      </c>
      <c r="I175" s="50" t="s">
        <v>8</v>
      </c>
      <c r="J175" s="50" t="s">
        <v>255</v>
      </c>
      <c r="K175" s="51" t="s">
        <v>252</v>
      </c>
      <c r="L175" s="50" t="s">
        <v>540</v>
      </c>
      <c r="M175" s="52" t="s">
        <v>541</v>
      </c>
      <c r="N175" s="50" t="s">
        <v>35</v>
      </c>
      <c r="O175" s="50" t="s">
        <v>65</v>
      </c>
      <c r="P175" s="51" t="s">
        <v>548</v>
      </c>
      <c r="Q175" s="51" t="s">
        <v>45</v>
      </c>
      <c r="R175" s="88">
        <v>50</v>
      </c>
      <c r="S175" s="85">
        <v>46174</v>
      </c>
      <c r="T175" s="85" t="s">
        <v>285</v>
      </c>
      <c r="U175" s="85" t="s">
        <v>285</v>
      </c>
      <c r="V175" s="85">
        <v>46266</v>
      </c>
      <c r="W175" s="92">
        <f>20000-8732-9644-1624</f>
        <v>0</v>
      </c>
      <c r="X175" s="55">
        <v>0</v>
      </c>
      <c r="Y175" s="86" t="s">
        <v>72</v>
      </c>
      <c r="Z175" s="58" t="s">
        <v>766</v>
      </c>
    </row>
    <row r="176" spans="2:26" ht="36" x14ac:dyDescent="0.2">
      <c r="B176" s="48" t="s">
        <v>629</v>
      </c>
      <c r="C176" s="49" t="s">
        <v>38</v>
      </c>
      <c r="D176" s="50" t="s">
        <v>16</v>
      </c>
      <c r="E176" s="74" t="s">
        <v>16</v>
      </c>
      <c r="F176" s="50" t="s">
        <v>79</v>
      </c>
      <c r="G176" s="50" t="s">
        <v>76</v>
      </c>
      <c r="H176" s="50" t="s">
        <v>258</v>
      </c>
      <c r="I176" s="50" t="s">
        <v>8</v>
      </c>
      <c r="J176" s="50" t="s">
        <v>255</v>
      </c>
      <c r="K176" s="51" t="s">
        <v>252</v>
      </c>
      <c r="L176" s="50" t="s">
        <v>540</v>
      </c>
      <c r="M176" s="52" t="s">
        <v>541</v>
      </c>
      <c r="N176" s="84" t="s">
        <v>35</v>
      </c>
      <c r="O176" s="84" t="s">
        <v>65</v>
      </c>
      <c r="P176" s="51" t="s">
        <v>549</v>
      </c>
      <c r="Q176" s="51" t="s">
        <v>45</v>
      </c>
      <c r="R176" s="88">
        <v>60</v>
      </c>
      <c r="S176" s="85">
        <v>46174</v>
      </c>
      <c r="T176" s="85" t="s">
        <v>285</v>
      </c>
      <c r="U176" s="85" t="s">
        <v>285</v>
      </c>
      <c r="V176" s="85">
        <v>46177</v>
      </c>
      <c r="W176" s="92">
        <f>40000-40000</f>
        <v>0</v>
      </c>
      <c r="X176" s="55">
        <v>0</v>
      </c>
      <c r="Y176" s="86" t="s">
        <v>72</v>
      </c>
      <c r="Z176" s="58" t="s">
        <v>767</v>
      </c>
    </row>
    <row r="177" spans="1:26" ht="24" customHeight="1" x14ac:dyDescent="0.2">
      <c r="B177" s="44" t="s">
        <v>630</v>
      </c>
      <c r="C177" s="45" t="s">
        <v>40</v>
      </c>
      <c r="D177" s="11" t="s">
        <v>21</v>
      </c>
      <c r="E177" s="59" t="s">
        <v>21</v>
      </c>
      <c r="F177" s="11" t="s">
        <v>79</v>
      </c>
      <c r="G177" s="11" t="s">
        <v>76</v>
      </c>
      <c r="H177" s="11" t="s">
        <v>258</v>
      </c>
      <c r="I177" s="11" t="s">
        <v>8</v>
      </c>
      <c r="J177" s="11" t="s">
        <v>255</v>
      </c>
      <c r="K177" s="9" t="s">
        <v>242</v>
      </c>
      <c r="L177" s="11" t="s">
        <v>540</v>
      </c>
      <c r="M177" s="46" t="s">
        <v>541</v>
      </c>
      <c r="N177" s="67" t="s">
        <v>35</v>
      </c>
      <c r="O177" s="11" t="s">
        <v>69</v>
      </c>
      <c r="P177" s="11" t="s">
        <v>513</v>
      </c>
      <c r="Q177" s="9" t="s">
        <v>41</v>
      </c>
      <c r="R177" s="76">
        <v>2</v>
      </c>
      <c r="S177" s="70">
        <v>46349</v>
      </c>
      <c r="T177" s="70" t="s">
        <v>285</v>
      </c>
      <c r="U177" s="70" t="s">
        <v>285</v>
      </c>
      <c r="V177" s="70" t="s">
        <v>285</v>
      </c>
      <c r="W177" s="91">
        <f>10500+5250</f>
        <v>15750</v>
      </c>
      <c r="X177" s="47">
        <v>0</v>
      </c>
      <c r="Y177" s="58" t="s">
        <v>72</v>
      </c>
      <c r="Z177" s="58" t="s">
        <v>768</v>
      </c>
    </row>
    <row r="178" spans="1:26" ht="24" customHeight="1" x14ac:dyDescent="0.2">
      <c r="B178" s="44" t="s">
        <v>631</v>
      </c>
      <c r="C178" s="45" t="s">
        <v>40</v>
      </c>
      <c r="D178" s="11" t="s">
        <v>227</v>
      </c>
      <c r="E178" s="59" t="s">
        <v>227</v>
      </c>
      <c r="F178" s="11" t="s">
        <v>79</v>
      </c>
      <c r="G178" s="11" t="s">
        <v>594</v>
      </c>
      <c r="H178" s="11" t="s">
        <v>258</v>
      </c>
      <c r="I178" s="11" t="s">
        <v>8</v>
      </c>
      <c r="J178" s="9" t="s">
        <v>256</v>
      </c>
      <c r="K178" s="11" t="s">
        <v>242</v>
      </c>
      <c r="L178" s="11" t="s">
        <v>540</v>
      </c>
      <c r="M178" s="46" t="s">
        <v>541</v>
      </c>
      <c r="N178" s="67" t="s">
        <v>35</v>
      </c>
      <c r="O178" s="67" t="s">
        <v>65</v>
      </c>
      <c r="P178" s="9" t="s">
        <v>558</v>
      </c>
      <c r="Q178" s="9" t="s">
        <v>41</v>
      </c>
      <c r="R178" s="76">
        <v>3</v>
      </c>
      <c r="S178" s="70" t="s">
        <v>592</v>
      </c>
      <c r="T178" s="70" t="s">
        <v>285</v>
      </c>
      <c r="U178" s="70" t="s">
        <v>285</v>
      </c>
      <c r="V178" s="70">
        <v>46387</v>
      </c>
      <c r="W178" s="91">
        <v>510</v>
      </c>
      <c r="X178" s="47">
        <v>0</v>
      </c>
      <c r="Y178" s="58" t="s">
        <v>72</v>
      </c>
      <c r="Z178" s="58" t="s">
        <v>542</v>
      </c>
    </row>
    <row r="179" spans="1:26" ht="24" customHeight="1" x14ac:dyDescent="0.2">
      <c r="B179" s="44" t="s">
        <v>632</v>
      </c>
      <c r="C179" s="45" t="s">
        <v>40</v>
      </c>
      <c r="D179" s="11" t="s">
        <v>227</v>
      </c>
      <c r="E179" s="59" t="s">
        <v>227</v>
      </c>
      <c r="F179" s="11" t="s">
        <v>79</v>
      </c>
      <c r="G179" s="11" t="s">
        <v>594</v>
      </c>
      <c r="H179" s="11" t="s">
        <v>258</v>
      </c>
      <c r="I179" s="11" t="s">
        <v>8</v>
      </c>
      <c r="J179" s="11" t="s">
        <v>255</v>
      </c>
      <c r="K179" s="9" t="s">
        <v>252</v>
      </c>
      <c r="L179" s="11" t="s">
        <v>540</v>
      </c>
      <c r="M179" s="46" t="s">
        <v>541</v>
      </c>
      <c r="N179" s="11" t="s">
        <v>35</v>
      </c>
      <c r="O179" s="11" t="s">
        <v>65</v>
      </c>
      <c r="P179" s="9" t="s">
        <v>550</v>
      </c>
      <c r="Q179" s="9" t="s">
        <v>45</v>
      </c>
      <c r="R179" s="76">
        <v>60</v>
      </c>
      <c r="S179" s="70" t="s">
        <v>592</v>
      </c>
      <c r="T179" s="70" t="s">
        <v>285</v>
      </c>
      <c r="U179" s="70" t="s">
        <v>285</v>
      </c>
      <c r="V179" s="70">
        <v>46387</v>
      </c>
      <c r="W179" s="91">
        <v>3384</v>
      </c>
      <c r="X179" s="47">
        <v>0</v>
      </c>
      <c r="Y179" s="58" t="s">
        <v>72</v>
      </c>
      <c r="Z179" s="58" t="s">
        <v>542</v>
      </c>
    </row>
    <row r="180" spans="1:26" ht="24" customHeight="1" x14ac:dyDescent="0.2">
      <c r="B180" s="44" t="s">
        <v>633</v>
      </c>
      <c r="C180" s="45" t="s">
        <v>40</v>
      </c>
      <c r="D180" s="11" t="s">
        <v>227</v>
      </c>
      <c r="E180" s="59" t="s">
        <v>227</v>
      </c>
      <c r="F180" s="11" t="s">
        <v>79</v>
      </c>
      <c r="G180" s="11" t="s">
        <v>594</v>
      </c>
      <c r="H180" s="11" t="s">
        <v>258</v>
      </c>
      <c r="I180" s="11" t="s">
        <v>8</v>
      </c>
      <c r="J180" s="9" t="s">
        <v>256</v>
      </c>
      <c r="K180" s="11" t="s">
        <v>242</v>
      </c>
      <c r="L180" s="11" t="s">
        <v>540</v>
      </c>
      <c r="M180" s="46" t="s">
        <v>541</v>
      </c>
      <c r="N180" s="11" t="s">
        <v>35</v>
      </c>
      <c r="O180" s="11" t="s">
        <v>65</v>
      </c>
      <c r="P180" s="9" t="s">
        <v>559</v>
      </c>
      <c r="Q180" s="9" t="s">
        <v>41</v>
      </c>
      <c r="R180" s="76">
        <v>3</v>
      </c>
      <c r="S180" s="70" t="s">
        <v>592</v>
      </c>
      <c r="T180" s="70" t="s">
        <v>285</v>
      </c>
      <c r="U180" s="70" t="s">
        <v>285</v>
      </c>
      <c r="V180" s="70">
        <v>46387</v>
      </c>
      <c r="W180" s="91">
        <v>510</v>
      </c>
      <c r="X180" s="47">
        <v>0</v>
      </c>
      <c r="Y180" s="58" t="s">
        <v>72</v>
      </c>
      <c r="Z180" s="58" t="s">
        <v>542</v>
      </c>
    </row>
    <row r="181" spans="1:26" ht="24" customHeight="1" x14ac:dyDescent="0.2">
      <c r="B181" s="44" t="s">
        <v>634</v>
      </c>
      <c r="C181" s="45" t="s">
        <v>40</v>
      </c>
      <c r="D181" s="11" t="s">
        <v>227</v>
      </c>
      <c r="E181" s="59" t="s">
        <v>227</v>
      </c>
      <c r="F181" s="11" t="s">
        <v>79</v>
      </c>
      <c r="G181" s="11" t="s">
        <v>594</v>
      </c>
      <c r="H181" s="11" t="s">
        <v>258</v>
      </c>
      <c r="I181" s="11" t="s">
        <v>8</v>
      </c>
      <c r="J181" s="11" t="s">
        <v>255</v>
      </c>
      <c r="K181" s="9" t="s">
        <v>252</v>
      </c>
      <c r="L181" s="11" t="s">
        <v>540</v>
      </c>
      <c r="M181" s="46" t="s">
        <v>541</v>
      </c>
      <c r="N181" s="11" t="s">
        <v>35</v>
      </c>
      <c r="O181" s="11" t="s">
        <v>65</v>
      </c>
      <c r="P181" s="9" t="s">
        <v>551</v>
      </c>
      <c r="Q181" s="67" t="s">
        <v>45</v>
      </c>
      <c r="R181" s="76">
        <v>60</v>
      </c>
      <c r="S181" s="70" t="s">
        <v>592</v>
      </c>
      <c r="T181" s="70" t="s">
        <v>285</v>
      </c>
      <c r="U181" s="70" t="s">
        <v>285</v>
      </c>
      <c r="V181" s="70">
        <v>46387</v>
      </c>
      <c r="W181" s="91">
        <v>2256</v>
      </c>
      <c r="X181" s="47">
        <v>0</v>
      </c>
      <c r="Y181" s="58" t="s">
        <v>72</v>
      </c>
      <c r="Z181" s="58" t="s">
        <v>542</v>
      </c>
    </row>
    <row r="182" spans="1:26" ht="24" customHeight="1" x14ac:dyDescent="0.2">
      <c r="B182" s="44" t="s">
        <v>635</v>
      </c>
      <c r="C182" s="45" t="s">
        <v>40</v>
      </c>
      <c r="D182" s="11" t="s">
        <v>227</v>
      </c>
      <c r="E182" s="59" t="s">
        <v>227</v>
      </c>
      <c r="F182" s="11" t="s">
        <v>79</v>
      </c>
      <c r="G182" s="11" t="s">
        <v>233</v>
      </c>
      <c r="H182" s="11" t="s">
        <v>258</v>
      </c>
      <c r="I182" s="11" t="s">
        <v>8</v>
      </c>
      <c r="J182" s="9" t="s">
        <v>256</v>
      </c>
      <c r="K182" s="11" t="s">
        <v>242</v>
      </c>
      <c r="L182" s="11" t="s">
        <v>540</v>
      </c>
      <c r="M182" s="46" t="s">
        <v>541</v>
      </c>
      <c r="N182" s="11" t="s">
        <v>35</v>
      </c>
      <c r="O182" s="11" t="s">
        <v>65</v>
      </c>
      <c r="P182" s="9" t="s">
        <v>560</v>
      </c>
      <c r="Q182" s="67" t="s">
        <v>41</v>
      </c>
      <c r="R182" s="76">
        <v>3</v>
      </c>
      <c r="S182" s="70" t="s">
        <v>592</v>
      </c>
      <c r="T182" s="70" t="s">
        <v>285</v>
      </c>
      <c r="U182" s="70" t="s">
        <v>285</v>
      </c>
      <c r="V182" s="70">
        <v>46387</v>
      </c>
      <c r="W182" s="91">
        <v>510</v>
      </c>
      <c r="X182" s="47">
        <v>0</v>
      </c>
      <c r="Y182" s="58" t="s">
        <v>72</v>
      </c>
      <c r="Z182" s="58" t="s">
        <v>542</v>
      </c>
    </row>
    <row r="183" spans="1:26" ht="24" customHeight="1" x14ac:dyDescent="0.2">
      <c r="B183" s="44" t="s">
        <v>636</v>
      </c>
      <c r="C183" s="45" t="s">
        <v>40</v>
      </c>
      <c r="D183" s="11" t="s">
        <v>227</v>
      </c>
      <c r="E183" s="59" t="s">
        <v>227</v>
      </c>
      <c r="F183" s="11" t="s">
        <v>79</v>
      </c>
      <c r="G183" s="11" t="s">
        <v>233</v>
      </c>
      <c r="H183" s="11" t="s">
        <v>258</v>
      </c>
      <c r="I183" s="11" t="s">
        <v>8</v>
      </c>
      <c r="J183" s="11" t="s">
        <v>255</v>
      </c>
      <c r="K183" s="9" t="s">
        <v>252</v>
      </c>
      <c r="L183" s="11" t="s">
        <v>540</v>
      </c>
      <c r="M183" s="46" t="s">
        <v>541</v>
      </c>
      <c r="N183" s="11" t="s">
        <v>35</v>
      </c>
      <c r="O183" s="11" t="s">
        <v>65</v>
      </c>
      <c r="P183" s="9" t="s">
        <v>552</v>
      </c>
      <c r="Q183" s="67" t="s">
        <v>45</v>
      </c>
      <c r="R183" s="76">
        <v>60</v>
      </c>
      <c r="S183" s="70" t="s">
        <v>592</v>
      </c>
      <c r="T183" s="70" t="s">
        <v>285</v>
      </c>
      <c r="U183" s="70" t="s">
        <v>285</v>
      </c>
      <c r="V183" s="70">
        <v>46387</v>
      </c>
      <c r="W183" s="91">
        <v>3384</v>
      </c>
      <c r="X183" s="47">
        <v>0</v>
      </c>
      <c r="Y183" s="58" t="s">
        <v>72</v>
      </c>
      <c r="Z183" s="58" t="s">
        <v>542</v>
      </c>
    </row>
    <row r="184" spans="1:26" ht="36" x14ac:dyDescent="0.2">
      <c r="B184" s="44" t="s">
        <v>637</v>
      </c>
      <c r="C184" s="45" t="s">
        <v>40</v>
      </c>
      <c r="D184" s="11" t="s">
        <v>17</v>
      </c>
      <c r="E184" s="59" t="s">
        <v>17</v>
      </c>
      <c r="F184" s="11" t="s">
        <v>79</v>
      </c>
      <c r="G184" s="11" t="s">
        <v>76</v>
      </c>
      <c r="H184" s="11" t="s">
        <v>258</v>
      </c>
      <c r="I184" s="11" t="s">
        <v>8</v>
      </c>
      <c r="J184" s="11" t="s">
        <v>255</v>
      </c>
      <c r="K184" s="9" t="s">
        <v>242</v>
      </c>
      <c r="L184" s="11" t="s">
        <v>540</v>
      </c>
      <c r="M184" s="46" t="s">
        <v>541</v>
      </c>
      <c r="N184" s="67" t="s">
        <v>35</v>
      </c>
      <c r="O184" s="11" t="s">
        <v>69</v>
      </c>
      <c r="P184" s="11" t="s">
        <v>514</v>
      </c>
      <c r="Q184" s="67" t="s">
        <v>41</v>
      </c>
      <c r="R184" s="76">
        <v>2</v>
      </c>
      <c r="S184" s="70">
        <v>46244</v>
      </c>
      <c r="T184" s="70" t="s">
        <v>285</v>
      </c>
      <c r="U184" s="70" t="s">
        <v>285</v>
      </c>
      <c r="V184" s="70" t="s">
        <v>285</v>
      </c>
      <c r="W184" s="91">
        <f>19500-5250-254-160</f>
        <v>13836</v>
      </c>
      <c r="X184" s="47">
        <v>0</v>
      </c>
      <c r="Y184" s="58" t="s">
        <v>72</v>
      </c>
      <c r="Z184" s="58" t="s">
        <v>769</v>
      </c>
    </row>
    <row r="185" spans="1:26" ht="24" customHeight="1" x14ac:dyDescent="0.2">
      <c r="B185" s="44" t="s">
        <v>638</v>
      </c>
      <c r="C185" s="45" t="s">
        <v>40</v>
      </c>
      <c r="D185" s="11" t="s">
        <v>17</v>
      </c>
      <c r="E185" s="59" t="s">
        <v>17</v>
      </c>
      <c r="F185" s="11" t="s">
        <v>79</v>
      </c>
      <c r="G185" s="11" t="s">
        <v>76</v>
      </c>
      <c r="H185" s="11" t="s">
        <v>258</v>
      </c>
      <c r="I185" s="11" t="s">
        <v>8</v>
      </c>
      <c r="J185" s="11" t="s">
        <v>255</v>
      </c>
      <c r="K185" s="9" t="s">
        <v>242</v>
      </c>
      <c r="L185" s="11" t="s">
        <v>540</v>
      </c>
      <c r="M185" s="46" t="s">
        <v>541</v>
      </c>
      <c r="N185" s="67" t="s">
        <v>35</v>
      </c>
      <c r="O185" s="11" t="s">
        <v>69</v>
      </c>
      <c r="P185" s="9" t="s">
        <v>515</v>
      </c>
      <c r="Q185" s="67" t="s">
        <v>41</v>
      </c>
      <c r="R185" s="76">
        <v>2</v>
      </c>
      <c r="S185" s="70">
        <v>46167</v>
      </c>
      <c r="T185" s="70" t="s">
        <v>285</v>
      </c>
      <c r="U185" s="70" t="s">
        <v>285</v>
      </c>
      <c r="V185" s="70" t="s">
        <v>285</v>
      </c>
      <c r="W185" s="91">
        <f>9780-2000</f>
        <v>7780</v>
      </c>
      <c r="X185" s="47">
        <v>0</v>
      </c>
      <c r="Y185" s="58" t="s">
        <v>72</v>
      </c>
      <c r="Z185" s="58" t="s">
        <v>770</v>
      </c>
    </row>
    <row r="186" spans="1:26" ht="24" customHeight="1" x14ac:dyDescent="0.2">
      <c r="B186" s="44" t="s">
        <v>639</v>
      </c>
      <c r="C186" s="45" t="s">
        <v>40</v>
      </c>
      <c r="D186" s="11" t="s">
        <v>19</v>
      </c>
      <c r="E186" s="59" t="s">
        <v>516</v>
      </c>
      <c r="F186" s="11" t="s">
        <v>79</v>
      </c>
      <c r="G186" s="11" t="s">
        <v>85</v>
      </c>
      <c r="H186" s="11" t="s">
        <v>258</v>
      </c>
      <c r="I186" s="11" t="s">
        <v>8</v>
      </c>
      <c r="J186" s="11" t="s">
        <v>255</v>
      </c>
      <c r="K186" s="9" t="s">
        <v>242</v>
      </c>
      <c r="L186" s="11" t="s">
        <v>540</v>
      </c>
      <c r="M186" s="46" t="s">
        <v>541</v>
      </c>
      <c r="N186" s="67" t="s">
        <v>35</v>
      </c>
      <c r="O186" s="11" t="s">
        <v>69</v>
      </c>
      <c r="P186" s="9" t="s">
        <v>517</v>
      </c>
      <c r="Q186" s="67" t="s">
        <v>41</v>
      </c>
      <c r="R186" s="76">
        <v>2</v>
      </c>
      <c r="S186" s="70">
        <v>46286</v>
      </c>
      <c r="T186" s="70" t="s">
        <v>285</v>
      </c>
      <c r="U186" s="70" t="s">
        <v>285</v>
      </c>
      <c r="V186" s="70">
        <v>46290</v>
      </c>
      <c r="W186" s="91">
        <f>3000+800</f>
        <v>3800</v>
      </c>
      <c r="X186" s="47">
        <v>0</v>
      </c>
      <c r="Y186" s="58" t="s">
        <v>72</v>
      </c>
      <c r="Z186" s="58" t="s">
        <v>815</v>
      </c>
    </row>
    <row r="187" spans="1:26" ht="36" x14ac:dyDescent="0.2">
      <c r="B187" s="44" t="s">
        <v>640</v>
      </c>
      <c r="C187" s="45" t="s">
        <v>40</v>
      </c>
      <c r="D187" s="11" t="s">
        <v>18</v>
      </c>
      <c r="E187" s="59" t="s">
        <v>18</v>
      </c>
      <c r="F187" s="11" t="s">
        <v>79</v>
      </c>
      <c r="G187" s="11" t="s">
        <v>76</v>
      </c>
      <c r="H187" s="11" t="s">
        <v>258</v>
      </c>
      <c r="I187" s="11" t="s">
        <v>8</v>
      </c>
      <c r="J187" s="11" t="s">
        <v>255</v>
      </c>
      <c r="K187" s="9" t="s">
        <v>242</v>
      </c>
      <c r="L187" s="11" t="s">
        <v>540</v>
      </c>
      <c r="M187" s="46" t="s">
        <v>541</v>
      </c>
      <c r="N187" s="67" t="s">
        <v>35</v>
      </c>
      <c r="O187" s="11" t="s">
        <v>69</v>
      </c>
      <c r="P187" s="9" t="s">
        <v>803</v>
      </c>
      <c r="Q187" s="67" t="s">
        <v>41</v>
      </c>
      <c r="R187" s="76">
        <v>3</v>
      </c>
      <c r="S187" s="70">
        <v>46314</v>
      </c>
      <c r="T187" s="70" t="s">
        <v>285</v>
      </c>
      <c r="U187" s="70" t="s">
        <v>285</v>
      </c>
      <c r="V187" s="70" t="s">
        <v>285</v>
      </c>
      <c r="W187" s="91">
        <f>35000-12360-1640</f>
        <v>21000</v>
      </c>
      <c r="X187" s="47">
        <v>0</v>
      </c>
      <c r="Y187" s="58" t="s">
        <v>72</v>
      </c>
      <c r="Z187" s="58" t="s">
        <v>771</v>
      </c>
    </row>
    <row r="188" spans="1:26" ht="24" customHeight="1" x14ac:dyDescent="0.2">
      <c r="B188" s="44" t="s">
        <v>641</v>
      </c>
      <c r="C188" s="45" t="s">
        <v>40</v>
      </c>
      <c r="D188" s="11" t="s">
        <v>19</v>
      </c>
      <c r="E188" s="59" t="s">
        <v>19</v>
      </c>
      <c r="F188" s="11" t="s">
        <v>79</v>
      </c>
      <c r="G188" s="11" t="s">
        <v>225</v>
      </c>
      <c r="H188" s="11" t="s">
        <v>258</v>
      </c>
      <c r="I188" s="11" t="s">
        <v>8</v>
      </c>
      <c r="J188" s="11" t="s">
        <v>255</v>
      </c>
      <c r="K188" s="9" t="s">
        <v>242</v>
      </c>
      <c r="L188" s="11" t="s">
        <v>540</v>
      </c>
      <c r="M188" s="46" t="s">
        <v>541</v>
      </c>
      <c r="N188" s="67" t="s">
        <v>35</v>
      </c>
      <c r="O188" s="11" t="s">
        <v>69</v>
      </c>
      <c r="P188" s="9" t="s">
        <v>518</v>
      </c>
      <c r="Q188" s="67" t="s">
        <v>41</v>
      </c>
      <c r="R188" s="76">
        <v>2</v>
      </c>
      <c r="S188" s="70">
        <v>46286</v>
      </c>
      <c r="T188" s="70" t="s">
        <v>285</v>
      </c>
      <c r="U188" s="70" t="s">
        <v>285</v>
      </c>
      <c r="V188" s="70" t="s">
        <v>285</v>
      </c>
      <c r="W188" s="91">
        <f>4000+860+492</f>
        <v>5352</v>
      </c>
      <c r="X188" s="47">
        <v>0</v>
      </c>
      <c r="Y188" s="58" t="s">
        <v>72</v>
      </c>
      <c r="Z188" s="58" t="s">
        <v>816</v>
      </c>
    </row>
    <row r="189" spans="1:26" ht="36" x14ac:dyDescent="0.2">
      <c r="A189" s="90"/>
      <c r="B189" s="65" t="s">
        <v>642</v>
      </c>
      <c r="C189" s="66" t="s">
        <v>40</v>
      </c>
      <c r="D189" s="67" t="s">
        <v>710</v>
      </c>
      <c r="E189" s="67" t="s">
        <v>712</v>
      </c>
      <c r="F189" s="67" t="s">
        <v>79</v>
      </c>
      <c r="G189" s="67" t="s">
        <v>76</v>
      </c>
      <c r="H189" s="67" t="s">
        <v>258</v>
      </c>
      <c r="I189" s="67" t="s">
        <v>8</v>
      </c>
      <c r="J189" s="67" t="s">
        <v>255</v>
      </c>
      <c r="K189" s="67" t="s">
        <v>242</v>
      </c>
      <c r="L189" s="67" t="s">
        <v>540</v>
      </c>
      <c r="M189" s="68" t="s">
        <v>541</v>
      </c>
      <c r="N189" s="67" t="s">
        <v>35</v>
      </c>
      <c r="O189" s="11" t="s">
        <v>69</v>
      </c>
      <c r="P189" s="67" t="s">
        <v>519</v>
      </c>
      <c r="Q189" s="67" t="s">
        <v>41</v>
      </c>
      <c r="R189" s="76">
        <v>2</v>
      </c>
      <c r="S189" s="70">
        <v>46169</v>
      </c>
      <c r="T189" s="70" t="s">
        <v>285</v>
      </c>
      <c r="U189" s="70" t="s">
        <v>285</v>
      </c>
      <c r="V189" s="70" t="s">
        <v>285</v>
      </c>
      <c r="W189" s="91">
        <f>3990+7980-3990+612-4602</f>
        <v>3990</v>
      </c>
      <c r="X189" s="47">
        <v>0</v>
      </c>
      <c r="Y189" s="58" t="s">
        <v>72</v>
      </c>
      <c r="Z189" s="58" t="s">
        <v>772</v>
      </c>
    </row>
    <row r="190" spans="1:26" ht="24" customHeight="1" x14ac:dyDescent="0.2">
      <c r="B190" s="44" t="s">
        <v>643</v>
      </c>
      <c r="C190" s="45" t="s">
        <v>40</v>
      </c>
      <c r="D190" s="11" t="s">
        <v>19</v>
      </c>
      <c r="E190" s="59" t="s">
        <v>19</v>
      </c>
      <c r="F190" s="11" t="s">
        <v>79</v>
      </c>
      <c r="G190" s="11" t="s">
        <v>85</v>
      </c>
      <c r="H190" s="11" t="s">
        <v>258</v>
      </c>
      <c r="I190" s="11" t="s">
        <v>8</v>
      </c>
      <c r="J190" s="11" t="s">
        <v>255</v>
      </c>
      <c r="K190" s="9" t="s">
        <v>242</v>
      </c>
      <c r="L190" s="11" t="s">
        <v>540</v>
      </c>
      <c r="M190" s="46" t="s">
        <v>541</v>
      </c>
      <c r="N190" s="67" t="s">
        <v>35</v>
      </c>
      <c r="O190" s="11" t="s">
        <v>69</v>
      </c>
      <c r="P190" s="9" t="s">
        <v>520</v>
      </c>
      <c r="Q190" s="67" t="s">
        <v>41</v>
      </c>
      <c r="R190" s="76">
        <v>10</v>
      </c>
      <c r="S190" s="70">
        <v>46204</v>
      </c>
      <c r="T190" s="70" t="s">
        <v>285</v>
      </c>
      <c r="U190" s="70" t="s">
        <v>285</v>
      </c>
      <c r="V190" s="70" t="s">
        <v>285</v>
      </c>
      <c r="W190" s="91">
        <f>14000+18310</f>
        <v>32310</v>
      </c>
      <c r="X190" s="47">
        <v>0</v>
      </c>
      <c r="Y190" s="58" t="s">
        <v>72</v>
      </c>
      <c r="Z190" s="58" t="s">
        <v>817</v>
      </c>
    </row>
    <row r="191" spans="1:26" ht="24" customHeight="1" x14ac:dyDescent="0.2">
      <c r="B191" s="95" t="s">
        <v>644</v>
      </c>
      <c r="C191" s="49" t="s">
        <v>40</v>
      </c>
      <c r="D191" s="50" t="s">
        <v>14</v>
      </c>
      <c r="E191" s="50" t="s">
        <v>27</v>
      </c>
      <c r="F191" s="50" t="s">
        <v>79</v>
      </c>
      <c r="G191" s="50" t="s">
        <v>76</v>
      </c>
      <c r="H191" s="50" t="s">
        <v>258</v>
      </c>
      <c r="I191" s="50" t="s">
        <v>8</v>
      </c>
      <c r="J191" s="50" t="s">
        <v>255</v>
      </c>
      <c r="K191" s="51" t="s">
        <v>242</v>
      </c>
      <c r="L191" s="50" t="s">
        <v>540</v>
      </c>
      <c r="M191" s="52" t="s">
        <v>541</v>
      </c>
      <c r="N191" s="84" t="s">
        <v>35</v>
      </c>
      <c r="O191" s="50" t="s">
        <v>69</v>
      </c>
      <c r="P191" s="51" t="s">
        <v>521</v>
      </c>
      <c r="Q191" s="84" t="s">
        <v>41</v>
      </c>
      <c r="R191" s="88">
        <v>1</v>
      </c>
      <c r="S191" s="85">
        <v>46148</v>
      </c>
      <c r="T191" s="85" t="s">
        <v>285</v>
      </c>
      <c r="U191" s="85" t="s">
        <v>285</v>
      </c>
      <c r="V191" s="85" t="s">
        <v>285</v>
      </c>
      <c r="W191" s="92">
        <f>4290-4290</f>
        <v>0</v>
      </c>
      <c r="X191" s="55">
        <v>0</v>
      </c>
      <c r="Y191" s="86" t="s">
        <v>72</v>
      </c>
      <c r="Z191" s="58" t="s">
        <v>818</v>
      </c>
    </row>
    <row r="192" spans="1:26" ht="24" customHeight="1" x14ac:dyDescent="0.2">
      <c r="B192" s="44" t="s">
        <v>645</v>
      </c>
      <c r="C192" s="45" t="s">
        <v>40</v>
      </c>
      <c r="D192" s="11" t="s">
        <v>19</v>
      </c>
      <c r="E192" s="59" t="s">
        <v>414</v>
      </c>
      <c r="F192" s="11" t="s">
        <v>79</v>
      </c>
      <c r="G192" s="11" t="s">
        <v>85</v>
      </c>
      <c r="H192" s="11" t="s">
        <v>258</v>
      </c>
      <c r="I192" s="11" t="s">
        <v>8</v>
      </c>
      <c r="J192" s="11" t="s">
        <v>255</v>
      </c>
      <c r="K192" s="11" t="s">
        <v>253</v>
      </c>
      <c r="L192" s="11" t="s">
        <v>540</v>
      </c>
      <c r="M192" s="46" t="s">
        <v>541</v>
      </c>
      <c r="N192" s="11" t="s">
        <v>35</v>
      </c>
      <c r="O192" s="11" t="s">
        <v>65</v>
      </c>
      <c r="P192" s="9" t="s">
        <v>562</v>
      </c>
      <c r="Q192" s="67" t="s">
        <v>53</v>
      </c>
      <c r="R192" s="76">
        <f>W192</f>
        <v>1476</v>
      </c>
      <c r="S192" s="70" t="s">
        <v>593</v>
      </c>
      <c r="T192" s="70" t="s">
        <v>285</v>
      </c>
      <c r="U192" s="70" t="s">
        <v>285</v>
      </c>
      <c r="V192" s="70">
        <v>46387</v>
      </c>
      <c r="W192" s="91">
        <f>1968-492</f>
        <v>1476</v>
      </c>
      <c r="X192" s="47">
        <v>0</v>
      </c>
      <c r="Y192" s="58" t="s">
        <v>72</v>
      </c>
      <c r="Z192" s="58" t="s">
        <v>819</v>
      </c>
    </row>
    <row r="193" spans="2:26" ht="36" x14ac:dyDescent="0.2">
      <c r="B193" s="44" t="s">
        <v>646</v>
      </c>
      <c r="C193" s="45" t="s">
        <v>40</v>
      </c>
      <c r="D193" s="11" t="s">
        <v>19</v>
      </c>
      <c r="E193" s="59" t="s">
        <v>414</v>
      </c>
      <c r="F193" s="11" t="s">
        <v>79</v>
      </c>
      <c r="G193" s="11" t="s">
        <v>85</v>
      </c>
      <c r="H193" s="11" t="s">
        <v>258</v>
      </c>
      <c r="I193" s="11" t="s">
        <v>8</v>
      </c>
      <c r="J193" s="11" t="s">
        <v>255</v>
      </c>
      <c r="K193" s="9" t="s">
        <v>252</v>
      </c>
      <c r="L193" s="11" t="s">
        <v>540</v>
      </c>
      <c r="M193" s="46" t="s">
        <v>541</v>
      </c>
      <c r="N193" s="11" t="s">
        <v>35</v>
      </c>
      <c r="O193" s="11" t="s">
        <v>65</v>
      </c>
      <c r="P193" s="9" t="s">
        <v>553</v>
      </c>
      <c r="Q193" s="67" t="s">
        <v>45</v>
      </c>
      <c r="R193" s="76">
        <v>60</v>
      </c>
      <c r="S193" s="70" t="s">
        <v>593</v>
      </c>
      <c r="T193" s="70" t="s">
        <v>285</v>
      </c>
      <c r="U193" s="70" t="s">
        <v>285</v>
      </c>
      <c r="V193" s="70">
        <v>46387</v>
      </c>
      <c r="W193" s="91">
        <f>9840-800-800-860</f>
        <v>7380</v>
      </c>
      <c r="X193" s="47">
        <v>0</v>
      </c>
      <c r="Y193" s="58" t="s">
        <v>72</v>
      </c>
      <c r="Z193" s="58" t="s">
        <v>820</v>
      </c>
    </row>
    <row r="194" spans="2:26" ht="24" customHeight="1" x14ac:dyDescent="0.2">
      <c r="B194" s="48" t="s">
        <v>647</v>
      </c>
      <c r="C194" s="49" t="s">
        <v>40</v>
      </c>
      <c r="D194" s="50" t="s">
        <v>522</v>
      </c>
      <c r="E194" s="74" t="s">
        <v>522</v>
      </c>
      <c r="F194" s="50" t="s">
        <v>79</v>
      </c>
      <c r="G194" s="50" t="s">
        <v>76</v>
      </c>
      <c r="H194" s="50" t="s">
        <v>258</v>
      </c>
      <c r="I194" s="50" t="s">
        <v>8</v>
      </c>
      <c r="J194" s="50" t="s">
        <v>255</v>
      </c>
      <c r="K194" s="51" t="s">
        <v>242</v>
      </c>
      <c r="L194" s="50" t="s">
        <v>540</v>
      </c>
      <c r="M194" s="52" t="s">
        <v>541</v>
      </c>
      <c r="N194" s="84" t="s">
        <v>35</v>
      </c>
      <c r="O194" s="50" t="s">
        <v>69</v>
      </c>
      <c r="P194" s="51" t="s">
        <v>523</v>
      </c>
      <c r="Q194" s="84" t="s">
        <v>41</v>
      </c>
      <c r="R194" s="88">
        <v>2</v>
      </c>
      <c r="S194" s="85">
        <v>46153</v>
      </c>
      <c r="T194" s="85" t="s">
        <v>285</v>
      </c>
      <c r="U194" s="85" t="s">
        <v>285</v>
      </c>
      <c r="V194" s="85" t="s">
        <v>285</v>
      </c>
      <c r="W194" s="92">
        <f>2195-2195</f>
        <v>0</v>
      </c>
      <c r="X194" s="55">
        <v>0</v>
      </c>
      <c r="Y194" s="86" t="s">
        <v>72</v>
      </c>
      <c r="Z194" s="58" t="s">
        <v>821</v>
      </c>
    </row>
    <row r="195" spans="2:26" ht="36" x14ac:dyDescent="0.2">
      <c r="B195" s="48" t="s">
        <v>648</v>
      </c>
      <c r="C195" s="49" t="s">
        <v>40</v>
      </c>
      <c r="D195" s="50" t="s">
        <v>20</v>
      </c>
      <c r="E195" s="74" t="s">
        <v>20</v>
      </c>
      <c r="F195" s="50" t="s">
        <v>79</v>
      </c>
      <c r="G195" s="50" t="s">
        <v>152</v>
      </c>
      <c r="H195" s="50" t="s">
        <v>258</v>
      </c>
      <c r="I195" s="84" t="s">
        <v>8</v>
      </c>
      <c r="J195" s="84" t="s">
        <v>255</v>
      </c>
      <c r="K195" s="84" t="s">
        <v>242</v>
      </c>
      <c r="L195" s="84" t="s">
        <v>540</v>
      </c>
      <c r="M195" s="87" t="s">
        <v>541</v>
      </c>
      <c r="N195" s="84" t="s">
        <v>35</v>
      </c>
      <c r="O195" s="50" t="s">
        <v>69</v>
      </c>
      <c r="P195" s="84" t="s">
        <v>564</v>
      </c>
      <c r="Q195" s="84" t="s">
        <v>41</v>
      </c>
      <c r="R195" s="88">
        <v>1</v>
      </c>
      <c r="S195" s="85">
        <v>46169</v>
      </c>
      <c r="T195" s="75" t="s">
        <v>285</v>
      </c>
      <c r="U195" s="75" t="s">
        <v>285</v>
      </c>
      <c r="V195" s="75">
        <v>46171</v>
      </c>
      <c r="W195" s="91">
        <f>11380-7980+3990-1896</f>
        <v>5494</v>
      </c>
      <c r="X195" s="47">
        <v>0</v>
      </c>
      <c r="Y195" s="58" t="s">
        <v>72</v>
      </c>
      <c r="Z195" s="58" t="s">
        <v>704</v>
      </c>
    </row>
    <row r="196" spans="2:26" ht="40.5" customHeight="1" x14ac:dyDescent="0.2">
      <c r="B196" s="48" t="s">
        <v>649</v>
      </c>
      <c r="C196" s="49" t="s">
        <v>40</v>
      </c>
      <c r="D196" s="50" t="s">
        <v>20</v>
      </c>
      <c r="E196" s="74" t="s">
        <v>20</v>
      </c>
      <c r="F196" s="50" t="s">
        <v>79</v>
      </c>
      <c r="G196" s="50" t="s">
        <v>152</v>
      </c>
      <c r="H196" s="50" t="s">
        <v>258</v>
      </c>
      <c r="I196" s="50" t="s">
        <v>8</v>
      </c>
      <c r="J196" s="51" t="s">
        <v>256</v>
      </c>
      <c r="K196" s="51" t="s">
        <v>242</v>
      </c>
      <c r="L196" s="50" t="s">
        <v>540</v>
      </c>
      <c r="M196" s="52" t="s">
        <v>541</v>
      </c>
      <c r="N196" s="50" t="s">
        <v>35</v>
      </c>
      <c r="O196" s="50" t="s">
        <v>65</v>
      </c>
      <c r="P196" s="51" t="s">
        <v>561</v>
      </c>
      <c r="Q196" s="84" t="s">
        <v>41</v>
      </c>
      <c r="R196" s="88">
        <v>6</v>
      </c>
      <c r="S196" s="85">
        <v>46143</v>
      </c>
      <c r="T196" s="85" t="s">
        <v>285</v>
      </c>
      <c r="U196" s="85" t="s">
        <v>285</v>
      </c>
      <c r="V196" s="85" t="s">
        <v>609</v>
      </c>
      <c r="W196" s="92">
        <f>1020-1020</f>
        <v>0</v>
      </c>
      <c r="X196" s="55">
        <v>0</v>
      </c>
      <c r="Y196" s="86" t="s">
        <v>72</v>
      </c>
      <c r="Z196" s="58" t="s">
        <v>713</v>
      </c>
    </row>
    <row r="197" spans="2:26" ht="38.25" customHeight="1" x14ac:dyDescent="0.2">
      <c r="B197" s="44" t="s">
        <v>650</v>
      </c>
      <c r="C197" s="45" t="s">
        <v>40</v>
      </c>
      <c r="D197" s="11" t="s">
        <v>20</v>
      </c>
      <c r="E197" s="59" t="s">
        <v>20</v>
      </c>
      <c r="F197" s="11" t="s">
        <v>79</v>
      </c>
      <c r="G197" s="11" t="s">
        <v>152</v>
      </c>
      <c r="H197" s="11" t="s">
        <v>258</v>
      </c>
      <c r="I197" s="11" t="s">
        <v>8</v>
      </c>
      <c r="J197" s="11" t="s">
        <v>255</v>
      </c>
      <c r="K197" s="11" t="s">
        <v>253</v>
      </c>
      <c r="L197" s="11" t="s">
        <v>540</v>
      </c>
      <c r="M197" s="46" t="s">
        <v>541</v>
      </c>
      <c r="N197" s="11" t="s">
        <v>35</v>
      </c>
      <c r="O197" s="11" t="s">
        <v>65</v>
      </c>
      <c r="P197" s="9" t="s">
        <v>563</v>
      </c>
      <c r="Q197" s="67" t="s">
        <v>53</v>
      </c>
      <c r="R197" s="76">
        <f>W197</f>
        <v>2952</v>
      </c>
      <c r="S197" s="70">
        <v>46143</v>
      </c>
      <c r="T197" s="70" t="s">
        <v>285</v>
      </c>
      <c r="U197" s="70" t="s">
        <v>285</v>
      </c>
      <c r="V197" s="70" t="s">
        <v>609</v>
      </c>
      <c r="W197" s="91">
        <f>2664+288</f>
        <v>2952</v>
      </c>
      <c r="X197" s="47">
        <v>0</v>
      </c>
      <c r="Y197" s="58" t="s">
        <v>72</v>
      </c>
      <c r="Z197" s="58" t="s">
        <v>714</v>
      </c>
    </row>
    <row r="198" spans="2:26" ht="24" x14ac:dyDescent="0.2">
      <c r="B198" s="44" t="s">
        <v>651</v>
      </c>
      <c r="C198" s="45" t="s">
        <v>40</v>
      </c>
      <c r="D198" s="11" t="s">
        <v>20</v>
      </c>
      <c r="E198" s="59" t="s">
        <v>20</v>
      </c>
      <c r="F198" s="11" t="s">
        <v>79</v>
      </c>
      <c r="G198" s="11" t="s">
        <v>152</v>
      </c>
      <c r="H198" s="11" t="s">
        <v>258</v>
      </c>
      <c r="I198" s="11" t="s">
        <v>8</v>
      </c>
      <c r="J198" s="11" t="s">
        <v>255</v>
      </c>
      <c r="K198" s="9" t="s">
        <v>252</v>
      </c>
      <c r="L198" s="11" t="s">
        <v>540</v>
      </c>
      <c r="M198" s="46" t="s">
        <v>541</v>
      </c>
      <c r="N198" s="11" t="s">
        <v>35</v>
      </c>
      <c r="O198" s="11" t="s">
        <v>65</v>
      </c>
      <c r="P198" s="9" t="s">
        <v>554</v>
      </c>
      <c r="Q198" s="67" t="s">
        <v>45</v>
      </c>
      <c r="R198" s="76">
        <v>120</v>
      </c>
      <c r="S198" s="70">
        <v>45778</v>
      </c>
      <c r="T198" s="70" t="s">
        <v>285</v>
      </c>
      <c r="U198" s="70" t="s">
        <v>285</v>
      </c>
      <c r="V198" s="70" t="s">
        <v>609</v>
      </c>
      <c r="W198" s="91">
        <f>13320+420+1020</f>
        <v>14760</v>
      </c>
      <c r="X198" s="47">
        <v>0</v>
      </c>
      <c r="Y198" s="58" t="s">
        <v>72</v>
      </c>
      <c r="Z198" s="58" t="s">
        <v>715</v>
      </c>
    </row>
    <row r="199" spans="2:26" ht="24" x14ac:dyDescent="0.2">
      <c r="B199" s="44" t="s">
        <v>652</v>
      </c>
      <c r="C199" s="45" t="s">
        <v>38</v>
      </c>
      <c r="D199" s="11" t="s">
        <v>524</v>
      </c>
      <c r="E199" s="59" t="s">
        <v>524</v>
      </c>
      <c r="F199" s="11" t="s">
        <v>79</v>
      </c>
      <c r="G199" s="11" t="s">
        <v>76</v>
      </c>
      <c r="H199" s="11" t="s">
        <v>258</v>
      </c>
      <c r="I199" s="11" t="s">
        <v>8</v>
      </c>
      <c r="J199" s="11" t="s">
        <v>255</v>
      </c>
      <c r="K199" s="9" t="s">
        <v>242</v>
      </c>
      <c r="L199" s="11" t="s">
        <v>540</v>
      </c>
      <c r="M199" s="46" t="s">
        <v>541</v>
      </c>
      <c r="N199" s="67" t="s">
        <v>35</v>
      </c>
      <c r="O199" s="11" t="s">
        <v>69</v>
      </c>
      <c r="P199" s="9" t="s">
        <v>525</v>
      </c>
      <c r="Q199" s="67" t="s">
        <v>41</v>
      </c>
      <c r="R199" s="76">
        <v>2</v>
      </c>
      <c r="S199" s="70">
        <v>46266</v>
      </c>
      <c r="T199" s="70" t="s">
        <v>285</v>
      </c>
      <c r="U199" s="70" t="s">
        <v>285</v>
      </c>
      <c r="V199" s="70" t="s">
        <v>285</v>
      </c>
      <c r="W199" s="91">
        <v>2000</v>
      </c>
      <c r="X199" s="47">
        <v>0</v>
      </c>
      <c r="Y199" s="58" t="s">
        <v>72</v>
      </c>
      <c r="Z199" s="58" t="s">
        <v>542</v>
      </c>
    </row>
    <row r="200" spans="2:26" ht="36" x14ac:dyDescent="0.2">
      <c r="B200" s="48" t="s">
        <v>653</v>
      </c>
      <c r="C200" s="49" t="s">
        <v>38</v>
      </c>
      <c r="D200" s="50" t="s">
        <v>524</v>
      </c>
      <c r="E200" s="74" t="s">
        <v>526</v>
      </c>
      <c r="F200" s="50" t="s">
        <v>79</v>
      </c>
      <c r="G200" s="50" t="s">
        <v>76</v>
      </c>
      <c r="H200" s="50" t="s">
        <v>258</v>
      </c>
      <c r="I200" s="50" t="s">
        <v>8</v>
      </c>
      <c r="J200" s="50" t="s">
        <v>255</v>
      </c>
      <c r="K200" s="51" t="s">
        <v>242</v>
      </c>
      <c r="L200" s="50" t="s">
        <v>540</v>
      </c>
      <c r="M200" s="52" t="s">
        <v>541</v>
      </c>
      <c r="N200" s="84" t="s">
        <v>35</v>
      </c>
      <c r="O200" s="50" t="s">
        <v>69</v>
      </c>
      <c r="P200" s="51" t="s">
        <v>527</v>
      </c>
      <c r="Q200" s="84" t="s">
        <v>41</v>
      </c>
      <c r="R200" s="88">
        <v>2</v>
      </c>
      <c r="S200" s="85">
        <v>46143</v>
      </c>
      <c r="T200" s="85" t="s">
        <v>285</v>
      </c>
      <c r="U200" s="85" t="s">
        <v>285</v>
      </c>
      <c r="V200" s="85" t="s">
        <v>285</v>
      </c>
      <c r="W200" s="92">
        <f>8980-8980</f>
        <v>0</v>
      </c>
      <c r="X200" s="55">
        <v>0</v>
      </c>
      <c r="Y200" s="86" t="s">
        <v>72</v>
      </c>
      <c r="Z200" s="58" t="s">
        <v>760</v>
      </c>
    </row>
    <row r="201" spans="2:26" ht="24" customHeight="1" x14ac:dyDescent="0.2">
      <c r="B201" s="44" t="s">
        <v>654</v>
      </c>
      <c r="C201" s="45" t="s">
        <v>40</v>
      </c>
      <c r="D201" s="11" t="s">
        <v>522</v>
      </c>
      <c r="E201" s="59" t="s">
        <v>522</v>
      </c>
      <c r="F201" s="11" t="s">
        <v>79</v>
      </c>
      <c r="G201" s="11" t="s">
        <v>76</v>
      </c>
      <c r="H201" s="11" t="s">
        <v>258</v>
      </c>
      <c r="I201" s="11" t="s">
        <v>8</v>
      </c>
      <c r="J201" s="11" t="s">
        <v>255</v>
      </c>
      <c r="K201" s="9" t="s">
        <v>242</v>
      </c>
      <c r="L201" s="11" t="s">
        <v>540</v>
      </c>
      <c r="M201" s="46" t="s">
        <v>541</v>
      </c>
      <c r="N201" s="67" t="s">
        <v>35</v>
      </c>
      <c r="O201" s="11" t="s">
        <v>69</v>
      </c>
      <c r="P201" s="9" t="s">
        <v>528</v>
      </c>
      <c r="Q201" s="67" t="s">
        <v>41</v>
      </c>
      <c r="R201" s="76">
        <v>3</v>
      </c>
      <c r="S201" s="70">
        <v>46251</v>
      </c>
      <c r="T201" s="70" t="s">
        <v>285</v>
      </c>
      <c r="U201" s="70" t="s">
        <v>285</v>
      </c>
      <c r="V201" s="70" t="s">
        <v>285</v>
      </c>
      <c r="W201" s="91">
        <v>3910</v>
      </c>
      <c r="X201" s="47">
        <v>0</v>
      </c>
      <c r="Y201" s="58" t="s">
        <v>72</v>
      </c>
      <c r="Z201" s="58" t="s">
        <v>542</v>
      </c>
    </row>
    <row r="202" spans="2:26" ht="36" x14ac:dyDescent="0.2">
      <c r="B202" s="44" t="s">
        <v>655</v>
      </c>
      <c r="C202" s="45" t="s">
        <v>40</v>
      </c>
      <c r="D202" s="11" t="s">
        <v>21</v>
      </c>
      <c r="E202" s="59" t="s">
        <v>21</v>
      </c>
      <c r="F202" s="11" t="s">
        <v>79</v>
      </c>
      <c r="G202" s="11" t="s">
        <v>76</v>
      </c>
      <c r="H202" s="11" t="s">
        <v>258</v>
      </c>
      <c r="I202" s="11" t="s">
        <v>8</v>
      </c>
      <c r="J202" s="11" t="s">
        <v>255</v>
      </c>
      <c r="K202" s="9" t="s">
        <v>242</v>
      </c>
      <c r="L202" s="11" t="s">
        <v>540</v>
      </c>
      <c r="M202" s="46" t="s">
        <v>541</v>
      </c>
      <c r="N202" s="67" t="s">
        <v>35</v>
      </c>
      <c r="O202" s="11" t="s">
        <v>69</v>
      </c>
      <c r="P202" s="9" t="s">
        <v>529</v>
      </c>
      <c r="Q202" s="67" t="s">
        <v>41</v>
      </c>
      <c r="R202" s="76">
        <v>3</v>
      </c>
      <c r="S202" s="70">
        <v>46235</v>
      </c>
      <c r="T202" s="70" t="s">
        <v>285</v>
      </c>
      <c r="U202" s="70" t="s">
        <v>285</v>
      </c>
      <c r="V202" s="70" t="s">
        <v>285</v>
      </c>
      <c r="W202" s="91">
        <f>18540+12360-10380-1248-1224</f>
        <v>18048</v>
      </c>
      <c r="X202" s="47">
        <v>0</v>
      </c>
      <c r="Y202" s="58" t="s">
        <v>72</v>
      </c>
      <c r="Z202" s="58" t="s">
        <v>822</v>
      </c>
    </row>
    <row r="203" spans="2:26" ht="24" x14ac:dyDescent="0.2">
      <c r="B203" s="44" t="s">
        <v>656</v>
      </c>
      <c r="C203" s="45" t="s">
        <v>40</v>
      </c>
      <c r="D203" s="11" t="s">
        <v>21</v>
      </c>
      <c r="E203" s="59" t="s">
        <v>21</v>
      </c>
      <c r="F203" s="11" t="s">
        <v>79</v>
      </c>
      <c r="G203" s="11" t="s">
        <v>76</v>
      </c>
      <c r="H203" s="11" t="s">
        <v>258</v>
      </c>
      <c r="I203" s="11" t="s">
        <v>8</v>
      </c>
      <c r="J203" s="11" t="s">
        <v>255</v>
      </c>
      <c r="K203" s="9" t="s">
        <v>242</v>
      </c>
      <c r="L203" s="11" t="s">
        <v>540</v>
      </c>
      <c r="M203" s="46" t="s">
        <v>541</v>
      </c>
      <c r="N203" s="67" t="s">
        <v>35</v>
      </c>
      <c r="O203" s="11" t="s">
        <v>69</v>
      </c>
      <c r="P203" s="9" t="s">
        <v>530</v>
      </c>
      <c r="Q203" s="67" t="s">
        <v>41</v>
      </c>
      <c r="R203" s="76">
        <v>2</v>
      </c>
      <c r="S203" s="70">
        <v>46235</v>
      </c>
      <c r="T203" s="70" t="s">
        <v>285</v>
      </c>
      <c r="U203" s="70" t="s">
        <v>285</v>
      </c>
      <c r="V203" s="70" t="s">
        <v>285</v>
      </c>
      <c r="W203" s="91">
        <v>9000</v>
      </c>
      <c r="X203" s="47">
        <v>0</v>
      </c>
      <c r="Y203" s="58" t="s">
        <v>72</v>
      </c>
      <c r="Z203" s="58" t="s">
        <v>542</v>
      </c>
    </row>
    <row r="204" spans="2:26" ht="24" customHeight="1" x14ac:dyDescent="0.2">
      <c r="B204" s="44" t="s">
        <v>657</v>
      </c>
      <c r="C204" s="45" t="s">
        <v>40</v>
      </c>
      <c r="D204" s="11" t="s">
        <v>21</v>
      </c>
      <c r="E204" s="59" t="s">
        <v>21</v>
      </c>
      <c r="F204" s="11" t="s">
        <v>79</v>
      </c>
      <c r="G204" s="11" t="s">
        <v>76</v>
      </c>
      <c r="H204" s="11" t="s">
        <v>258</v>
      </c>
      <c r="I204" s="11" t="s">
        <v>8</v>
      </c>
      <c r="J204" s="11" t="s">
        <v>255</v>
      </c>
      <c r="K204" s="9" t="s">
        <v>242</v>
      </c>
      <c r="L204" s="11" t="s">
        <v>540</v>
      </c>
      <c r="M204" s="46" t="s">
        <v>541</v>
      </c>
      <c r="N204" s="67" t="s">
        <v>35</v>
      </c>
      <c r="O204" s="11" t="s">
        <v>69</v>
      </c>
      <c r="P204" s="9" t="s">
        <v>531</v>
      </c>
      <c r="Q204" s="67" t="s">
        <v>51</v>
      </c>
      <c r="R204" s="76">
        <v>1</v>
      </c>
      <c r="S204" s="70">
        <v>46174</v>
      </c>
      <c r="T204" s="70" t="s">
        <v>285</v>
      </c>
      <c r="U204" s="70" t="s">
        <v>285</v>
      </c>
      <c r="V204" s="70">
        <v>46387</v>
      </c>
      <c r="W204" s="91">
        <f>120000-18310</f>
        <v>101690</v>
      </c>
      <c r="X204" s="47">
        <v>0</v>
      </c>
      <c r="Y204" s="58" t="s">
        <v>72</v>
      </c>
      <c r="Z204" s="58" t="s">
        <v>823</v>
      </c>
    </row>
    <row r="205" spans="2:26" ht="36" x14ac:dyDescent="0.2">
      <c r="B205" s="44" t="s">
        <v>658</v>
      </c>
      <c r="C205" s="49" t="s">
        <v>38</v>
      </c>
      <c r="D205" s="50" t="s">
        <v>22</v>
      </c>
      <c r="E205" s="74" t="s">
        <v>32</v>
      </c>
      <c r="F205" s="50" t="s">
        <v>79</v>
      </c>
      <c r="G205" s="50" t="s">
        <v>193</v>
      </c>
      <c r="H205" s="50" t="s">
        <v>258</v>
      </c>
      <c r="I205" s="50" t="s">
        <v>8</v>
      </c>
      <c r="J205" s="51" t="s">
        <v>256</v>
      </c>
      <c r="K205" s="51" t="s">
        <v>242</v>
      </c>
      <c r="L205" s="50" t="s">
        <v>540</v>
      </c>
      <c r="M205" s="52" t="s">
        <v>541</v>
      </c>
      <c r="N205" s="50" t="s">
        <v>35</v>
      </c>
      <c r="O205" s="50" t="s">
        <v>65</v>
      </c>
      <c r="P205" s="50" t="s">
        <v>565</v>
      </c>
      <c r="Q205" s="84" t="s">
        <v>41</v>
      </c>
      <c r="R205" s="53" t="s">
        <v>285</v>
      </c>
      <c r="S205" s="85">
        <v>46143</v>
      </c>
      <c r="T205" s="85" t="s">
        <v>285</v>
      </c>
      <c r="U205" s="85" t="s">
        <v>285</v>
      </c>
      <c r="V205" s="85">
        <v>46387</v>
      </c>
      <c r="W205" s="92">
        <v>0</v>
      </c>
      <c r="X205" s="55">
        <v>0</v>
      </c>
      <c r="Y205" s="86" t="s">
        <v>72</v>
      </c>
      <c r="Z205" s="58" t="s">
        <v>773</v>
      </c>
    </row>
    <row r="206" spans="2:26" ht="36" x14ac:dyDescent="0.2">
      <c r="B206" s="44" t="s">
        <v>659</v>
      </c>
      <c r="C206" s="49" t="s">
        <v>38</v>
      </c>
      <c r="D206" s="50" t="s">
        <v>22</v>
      </c>
      <c r="E206" s="74" t="s">
        <v>32</v>
      </c>
      <c r="F206" s="50" t="s">
        <v>79</v>
      </c>
      <c r="G206" s="50" t="s">
        <v>193</v>
      </c>
      <c r="H206" s="50" t="s">
        <v>258</v>
      </c>
      <c r="I206" s="50" t="s">
        <v>8</v>
      </c>
      <c r="J206" s="50" t="s">
        <v>255</v>
      </c>
      <c r="K206" s="50" t="s">
        <v>253</v>
      </c>
      <c r="L206" s="50" t="s">
        <v>540</v>
      </c>
      <c r="M206" s="52" t="s">
        <v>541</v>
      </c>
      <c r="N206" s="50" t="s">
        <v>35</v>
      </c>
      <c r="O206" s="50" t="s">
        <v>65</v>
      </c>
      <c r="P206" s="50" t="s">
        <v>566</v>
      </c>
      <c r="Q206" s="84" t="s">
        <v>53</v>
      </c>
      <c r="R206" s="53">
        <f>W206</f>
        <v>0</v>
      </c>
      <c r="S206" s="85">
        <v>46143</v>
      </c>
      <c r="T206" s="85" t="s">
        <v>285</v>
      </c>
      <c r="U206" s="85" t="s">
        <v>285</v>
      </c>
      <c r="V206" s="85">
        <v>46387</v>
      </c>
      <c r="W206" s="92">
        <f>8266-8142-124</f>
        <v>0</v>
      </c>
      <c r="X206" s="55">
        <v>0</v>
      </c>
      <c r="Y206" s="86" t="s">
        <v>72</v>
      </c>
      <c r="Z206" s="58" t="s">
        <v>773</v>
      </c>
    </row>
    <row r="207" spans="2:26" ht="36" x14ac:dyDescent="0.2">
      <c r="B207" s="44" t="s">
        <v>660</v>
      </c>
      <c r="C207" s="49" t="s">
        <v>38</v>
      </c>
      <c r="D207" s="50" t="s">
        <v>22</v>
      </c>
      <c r="E207" s="74" t="s">
        <v>32</v>
      </c>
      <c r="F207" s="50" t="s">
        <v>79</v>
      </c>
      <c r="G207" s="50" t="s">
        <v>193</v>
      </c>
      <c r="H207" s="50" t="s">
        <v>258</v>
      </c>
      <c r="I207" s="50" t="s">
        <v>8</v>
      </c>
      <c r="J207" s="50" t="s">
        <v>255</v>
      </c>
      <c r="K207" s="51" t="s">
        <v>252</v>
      </c>
      <c r="L207" s="50" t="s">
        <v>540</v>
      </c>
      <c r="M207" s="52" t="s">
        <v>541</v>
      </c>
      <c r="N207" s="50" t="s">
        <v>35</v>
      </c>
      <c r="O207" s="50" t="s">
        <v>65</v>
      </c>
      <c r="P207" s="50" t="s">
        <v>567</v>
      </c>
      <c r="Q207" s="51" t="s">
        <v>45</v>
      </c>
      <c r="R207" s="53" t="s">
        <v>285</v>
      </c>
      <c r="S207" s="85">
        <v>46143</v>
      </c>
      <c r="T207" s="75" t="s">
        <v>285</v>
      </c>
      <c r="U207" s="85" t="s">
        <v>285</v>
      </c>
      <c r="V207" s="85">
        <v>46387</v>
      </c>
      <c r="W207" s="91">
        <f>41328-8980-8000-8000-7780-1252.4</f>
        <v>7315.6</v>
      </c>
      <c r="X207" s="47">
        <v>0</v>
      </c>
      <c r="Y207" s="86" t="s">
        <v>72</v>
      </c>
      <c r="Z207" s="58" t="s">
        <v>774</v>
      </c>
    </row>
    <row r="208" spans="2:26" ht="24" customHeight="1" x14ac:dyDescent="0.2">
      <c r="B208" s="44" t="s">
        <v>661</v>
      </c>
      <c r="C208" s="45" t="s">
        <v>38</v>
      </c>
      <c r="D208" s="11" t="s">
        <v>22</v>
      </c>
      <c r="E208" s="59" t="s">
        <v>32</v>
      </c>
      <c r="F208" s="11" t="s">
        <v>79</v>
      </c>
      <c r="G208" s="11" t="s">
        <v>193</v>
      </c>
      <c r="H208" s="11" t="s">
        <v>258</v>
      </c>
      <c r="I208" s="11" t="s">
        <v>8</v>
      </c>
      <c r="J208" s="11" t="s">
        <v>255</v>
      </c>
      <c r="K208" s="9" t="s">
        <v>242</v>
      </c>
      <c r="L208" s="11" t="s">
        <v>540</v>
      </c>
      <c r="M208" s="46" t="s">
        <v>541</v>
      </c>
      <c r="N208" s="67" t="s">
        <v>35</v>
      </c>
      <c r="O208" s="67" t="s">
        <v>65</v>
      </c>
      <c r="P208" s="11" t="s">
        <v>568</v>
      </c>
      <c r="Q208" s="67" t="s">
        <v>51</v>
      </c>
      <c r="R208" s="76">
        <v>1</v>
      </c>
      <c r="S208" s="70">
        <v>46143</v>
      </c>
      <c r="T208" s="70" t="s">
        <v>285</v>
      </c>
      <c r="U208" s="70" t="s">
        <v>285</v>
      </c>
      <c r="V208" s="70">
        <v>46387</v>
      </c>
      <c r="W208" s="91">
        <v>9872</v>
      </c>
      <c r="X208" s="47">
        <v>0</v>
      </c>
      <c r="Y208" s="58" t="s">
        <v>72</v>
      </c>
      <c r="Z208" s="58" t="s">
        <v>542</v>
      </c>
    </row>
    <row r="209" spans="2:26" ht="24" customHeight="1" x14ac:dyDescent="0.2">
      <c r="B209" s="44" t="s">
        <v>662</v>
      </c>
      <c r="C209" s="45" t="s">
        <v>38</v>
      </c>
      <c r="D209" s="11" t="s">
        <v>22</v>
      </c>
      <c r="E209" s="59" t="s">
        <v>31</v>
      </c>
      <c r="F209" s="11" t="s">
        <v>79</v>
      </c>
      <c r="G209" s="11" t="s">
        <v>192</v>
      </c>
      <c r="H209" s="11" t="s">
        <v>258</v>
      </c>
      <c r="I209" s="11" t="s">
        <v>8</v>
      </c>
      <c r="J209" s="11" t="s">
        <v>255</v>
      </c>
      <c r="K209" s="9" t="s">
        <v>242</v>
      </c>
      <c r="L209" s="11" t="s">
        <v>540</v>
      </c>
      <c r="M209" s="46" t="s">
        <v>541</v>
      </c>
      <c r="N209" s="67" t="s">
        <v>35</v>
      </c>
      <c r="O209" s="11" t="s">
        <v>69</v>
      </c>
      <c r="P209" s="67" t="s">
        <v>532</v>
      </c>
      <c r="Q209" s="67" t="s">
        <v>41</v>
      </c>
      <c r="R209" s="76">
        <v>2</v>
      </c>
      <c r="S209" s="70">
        <v>46296</v>
      </c>
      <c r="T209" s="70" t="s">
        <v>285</v>
      </c>
      <c r="U209" s="70" t="s">
        <v>285</v>
      </c>
      <c r="V209" s="70" t="s">
        <v>285</v>
      </c>
      <c r="W209" s="91">
        <v>1600</v>
      </c>
      <c r="X209" s="47">
        <v>0</v>
      </c>
      <c r="Y209" s="58" t="s">
        <v>72</v>
      </c>
      <c r="Z209" s="58" t="s">
        <v>542</v>
      </c>
    </row>
    <row r="210" spans="2:26" ht="24" customHeight="1" x14ac:dyDescent="0.2">
      <c r="B210" s="44" t="s">
        <v>663</v>
      </c>
      <c r="C210" s="45" t="s">
        <v>38</v>
      </c>
      <c r="D210" s="11" t="s">
        <v>22</v>
      </c>
      <c r="E210" s="59" t="s">
        <v>31</v>
      </c>
      <c r="F210" s="11" t="s">
        <v>79</v>
      </c>
      <c r="G210" s="11" t="s">
        <v>192</v>
      </c>
      <c r="H210" s="11" t="s">
        <v>258</v>
      </c>
      <c r="I210" s="11" t="s">
        <v>8</v>
      </c>
      <c r="J210" s="9" t="s">
        <v>256</v>
      </c>
      <c r="K210" s="9" t="s">
        <v>242</v>
      </c>
      <c r="L210" s="11" t="s">
        <v>540</v>
      </c>
      <c r="M210" s="46" t="s">
        <v>541</v>
      </c>
      <c r="N210" s="67" t="s">
        <v>35</v>
      </c>
      <c r="O210" s="67" t="s">
        <v>65</v>
      </c>
      <c r="P210" s="67" t="s">
        <v>555</v>
      </c>
      <c r="Q210" s="67" t="s">
        <v>41</v>
      </c>
      <c r="R210" s="76">
        <v>8</v>
      </c>
      <c r="S210" s="70">
        <v>46143</v>
      </c>
      <c r="T210" s="70" t="s">
        <v>285</v>
      </c>
      <c r="U210" s="70" t="s">
        <v>285</v>
      </c>
      <c r="V210" s="70">
        <v>46387</v>
      </c>
      <c r="W210" s="91">
        <v>1500</v>
      </c>
      <c r="X210" s="47">
        <v>0</v>
      </c>
      <c r="Y210" s="58" t="s">
        <v>72</v>
      </c>
      <c r="Z210" s="58" t="s">
        <v>542</v>
      </c>
    </row>
    <row r="211" spans="2:26" ht="24" customHeight="1" x14ac:dyDescent="0.2">
      <c r="B211" s="44" t="s">
        <v>664</v>
      </c>
      <c r="C211" s="45" t="s">
        <v>38</v>
      </c>
      <c r="D211" s="11" t="s">
        <v>22</v>
      </c>
      <c r="E211" s="59" t="s">
        <v>31</v>
      </c>
      <c r="F211" s="11" t="s">
        <v>79</v>
      </c>
      <c r="G211" s="11" t="s">
        <v>192</v>
      </c>
      <c r="H211" s="11" t="s">
        <v>258</v>
      </c>
      <c r="I211" s="11" t="s">
        <v>8</v>
      </c>
      <c r="J211" s="11" t="s">
        <v>255</v>
      </c>
      <c r="K211" s="11" t="s">
        <v>253</v>
      </c>
      <c r="L211" s="11" t="s">
        <v>540</v>
      </c>
      <c r="M211" s="46" t="s">
        <v>541</v>
      </c>
      <c r="N211" s="11" t="s">
        <v>35</v>
      </c>
      <c r="O211" s="11" t="s">
        <v>65</v>
      </c>
      <c r="P211" s="67" t="s">
        <v>556</v>
      </c>
      <c r="Q211" s="67" t="s">
        <v>53</v>
      </c>
      <c r="R211" s="76">
        <f>W211</f>
        <v>4000</v>
      </c>
      <c r="S211" s="70">
        <v>46143</v>
      </c>
      <c r="T211" s="70" t="s">
        <v>285</v>
      </c>
      <c r="U211" s="70" t="s">
        <v>285</v>
      </c>
      <c r="V211" s="70">
        <v>46387</v>
      </c>
      <c r="W211" s="91">
        <v>4000</v>
      </c>
      <c r="X211" s="47">
        <v>0</v>
      </c>
      <c r="Y211" s="58" t="s">
        <v>72</v>
      </c>
      <c r="Z211" s="58" t="s">
        <v>542</v>
      </c>
    </row>
    <row r="212" spans="2:26" ht="24" customHeight="1" x14ac:dyDescent="0.2">
      <c r="B212" s="44" t="s">
        <v>665</v>
      </c>
      <c r="C212" s="45" t="s">
        <v>38</v>
      </c>
      <c r="D212" s="11" t="s">
        <v>22</v>
      </c>
      <c r="E212" s="59" t="s">
        <v>31</v>
      </c>
      <c r="F212" s="11" t="s">
        <v>79</v>
      </c>
      <c r="G212" s="11" t="s">
        <v>192</v>
      </c>
      <c r="H212" s="11" t="s">
        <v>258</v>
      </c>
      <c r="I212" s="11" t="s">
        <v>8</v>
      </c>
      <c r="J212" s="11" t="s">
        <v>255</v>
      </c>
      <c r="K212" s="9" t="s">
        <v>252</v>
      </c>
      <c r="L212" s="11" t="s">
        <v>540</v>
      </c>
      <c r="M212" s="46" t="s">
        <v>541</v>
      </c>
      <c r="N212" s="67" t="s">
        <v>35</v>
      </c>
      <c r="O212" s="67" t="s">
        <v>65</v>
      </c>
      <c r="P212" s="67" t="s">
        <v>557</v>
      </c>
      <c r="Q212" s="67" t="s">
        <v>45</v>
      </c>
      <c r="R212" s="76">
        <v>22500</v>
      </c>
      <c r="S212" s="70">
        <v>46143</v>
      </c>
      <c r="T212" s="70" t="s">
        <v>285</v>
      </c>
      <c r="U212" s="70" t="s">
        <v>285</v>
      </c>
      <c r="V212" s="70">
        <v>46387</v>
      </c>
      <c r="W212" s="91">
        <v>22500</v>
      </c>
      <c r="X212" s="47">
        <v>0</v>
      </c>
      <c r="Y212" s="58" t="s">
        <v>72</v>
      </c>
      <c r="Z212" s="58" t="s">
        <v>542</v>
      </c>
    </row>
    <row r="213" spans="2:26" ht="24" customHeight="1" x14ac:dyDescent="0.2">
      <c r="B213" s="44" t="s">
        <v>666</v>
      </c>
      <c r="C213" s="45" t="s">
        <v>38</v>
      </c>
      <c r="D213" s="11" t="s">
        <v>533</v>
      </c>
      <c r="E213" s="59" t="s">
        <v>533</v>
      </c>
      <c r="F213" s="11" t="s">
        <v>79</v>
      </c>
      <c r="G213" s="11" t="s">
        <v>76</v>
      </c>
      <c r="H213" s="11" t="s">
        <v>258</v>
      </c>
      <c r="I213" s="11" t="s">
        <v>8</v>
      </c>
      <c r="J213" s="11" t="s">
        <v>255</v>
      </c>
      <c r="K213" s="9" t="s">
        <v>242</v>
      </c>
      <c r="L213" s="11" t="s">
        <v>540</v>
      </c>
      <c r="M213" s="46" t="s">
        <v>541</v>
      </c>
      <c r="N213" s="67" t="s">
        <v>35</v>
      </c>
      <c r="O213" s="11" t="s">
        <v>69</v>
      </c>
      <c r="P213" s="67" t="s">
        <v>534</v>
      </c>
      <c r="Q213" s="67" t="s">
        <v>41</v>
      </c>
      <c r="R213" s="76">
        <v>1</v>
      </c>
      <c r="S213" s="70">
        <v>46174</v>
      </c>
      <c r="T213" s="42" t="s">
        <v>285</v>
      </c>
      <c r="U213" s="42" t="s">
        <v>285</v>
      </c>
      <c r="V213" s="42" t="s">
        <v>285</v>
      </c>
      <c r="W213" s="91">
        <f>3320-1440-80</f>
        <v>1800</v>
      </c>
      <c r="X213" s="47">
        <v>0</v>
      </c>
      <c r="Y213" s="58" t="s">
        <v>72</v>
      </c>
      <c r="Z213" s="58" t="s">
        <v>770</v>
      </c>
    </row>
    <row r="214" spans="2:26" ht="24" customHeight="1" x14ac:dyDescent="0.2">
      <c r="B214" s="44" t="s">
        <v>667</v>
      </c>
      <c r="C214" s="45" t="s">
        <v>40</v>
      </c>
      <c r="D214" s="11" t="s">
        <v>23</v>
      </c>
      <c r="E214" s="59" t="s">
        <v>23</v>
      </c>
      <c r="F214" s="11" t="s">
        <v>79</v>
      </c>
      <c r="G214" s="11" t="s">
        <v>76</v>
      </c>
      <c r="H214" s="11" t="s">
        <v>258</v>
      </c>
      <c r="I214" s="11" t="s">
        <v>8</v>
      </c>
      <c r="J214" s="11" t="s">
        <v>255</v>
      </c>
      <c r="K214" s="9" t="s">
        <v>242</v>
      </c>
      <c r="L214" s="11" t="s">
        <v>540</v>
      </c>
      <c r="M214" s="46" t="s">
        <v>541</v>
      </c>
      <c r="N214" s="67" t="s">
        <v>35</v>
      </c>
      <c r="O214" s="11" t="s">
        <v>69</v>
      </c>
      <c r="P214" s="67" t="s">
        <v>784</v>
      </c>
      <c r="Q214" s="67" t="s">
        <v>41</v>
      </c>
      <c r="R214" s="76">
        <v>2</v>
      </c>
      <c r="S214" s="70" t="s">
        <v>785</v>
      </c>
      <c r="T214" s="42" t="s">
        <v>285</v>
      </c>
      <c r="U214" s="42" t="s">
        <v>285</v>
      </c>
      <c r="V214" s="42">
        <v>46296</v>
      </c>
      <c r="W214" s="91">
        <f>5300+2195</f>
        <v>7495</v>
      </c>
      <c r="X214" s="47">
        <v>0</v>
      </c>
      <c r="Y214" s="58" t="s">
        <v>72</v>
      </c>
      <c r="Z214" s="58" t="s">
        <v>786</v>
      </c>
    </row>
    <row r="215" spans="2:26" ht="24" customHeight="1" x14ac:dyDescent="0.2">
      <c r="B215" s="44" t="s">
        <v>668</v>
      </c>
      <c r="C215" s="45" t="s">
        <v>39</v>
      </c>
      <c r="D215" s="11" t="s">
        <v>24</v>
      </c>
      <c r="E215" s="59" t="s">
        <v>24</v>
      </c>
      <c r="F215" s="11" t="s">
        <v>79</v>
      </c>
      <c r="G215" s="11" t="s">
        <v>205</v>
      </c>
      <c r="H215" s="11" t="s">
        <v>258</v>
      </c>
      <c r="I215" s="11" t="s">
        <v>8</v>
      </c>
      <c r="J215" s="11" t="s">
        <v>255</v>
      </c>
      <c r="K215" s="11" t="s">
        <v>253</v>
      </c>
      <c r="L215" s="11" t="s">
        <v>540</v>
      </c>
      <c r="M215" s="46" t="s">
        <v>541</v>
      </c>
      <c r="N215" s="11" t="s">
        <v>35</v>
      </c>
      <c r="O215" s="11" t="s">
        <v>65</v>
      </c>
      <c r="P215" s="9" t="s">
        <v>569</v>
      </c>
      <c r="Q215" s="67" t="s">
        <v>53</v>
      </c>
      <c r="R215" s="76">
        <f>W215</f>
        <v>8471.5499999999993</v>
      </c>
      <c r="S215" s="70">
        <v>46143</v>
      </c>
      <c r="T215" s="70" t="s">
        <v>285</v>
      </c>
      <c r="U215" s="70" t="s">
        <v>285</v>
      </c>
      <c r="V215" s="70">
        <v>46356</v>
      </c>
      <c r="W215" s="91">
        <f>8878-406.25-0.2</f>
        <v>8471.5499999999993</v>
      </c>
      <c r="X215" s="47">
        <v>0</v>
      </c>
      <c r="Y215" s="58" t="s">
        <v>72</v>
      </c>
      <c r="Z215" s="58" t="s">
        <v>775</v>
      </c>
    </row>
    <row r="216" spans="2:26" ht="24" customHeight="1" x14ac:dyDescent="0.2">
      <c r="B216" s="44" t="s">
        <v>669</v>
      </c>
      <c r="C216" s="45" t="s">
        <v>39</v>
      </c>
      <c r="D216" s="11" t="s">
        <v>24</v>
      </c>
      <c r="E216" s="59" t="s">
        <v>24</v>
      </c>
      <c r="F216" s="11" t="s">
        <v>79</v>
      </c>
      <c r="G216" s="11" t="s">
        <v>205</v>
      </c>
      <c r="H216" s="11" t="s">
        <v>258</v>
      </c>
      <c r="I216" s="11" t="s">
        <v>8</v>
      </c>
      <c r="J216" s="11" t="s">
        <v>255</v>
      </c>
      <c r="K216" s="9" t="s">
        <v>252</v>
      </c>
      <c r="L216" s="11" t="s">
        <v>540</v>
      </c>
      <c r="M216" s="46" t="s">
        <v>541</v>
      </c>
      <c r="N216" s="11" t="s">
        <v>35</v>
      </c>
      <c r="O216" s="11" t="s">
        <v>65</v>
      </c>
      <c r="P216" s="9" t="s">
        <v>570</v>
      </c>
      <c r="Q216" s="67" t="s">
        <v>45</v>
      </c>
      <c r="R216" s="76">
        <v>30</v>
      </c>
      <c r="S216" s="70">
        <v>46143</v>
      </c>
      <c r="T216" s="70" t="s">
        <v>285</v>
      </c>
      <c r="U216" s="70" t="s">
        <v>285</v>
      </c>
      <c r="V216" s="70">
        <v>46356</v>
      </c>
      <c r="W216" s="91">
        <f>44388-10502.61</f>
        <v>33885.39</v>
      </c>
      <c r="X216" s="47">
        <v>0</v>
      </c>
      <c r="Y216" s="58" t="s">
        <v>72</v>
      </c>
      <c r="Z216" s="58" t="s">
        <v>776</v>
      </c>
    </row>
    <row r="217" spans="2:26" ht="24" customHeight="1" x14ac:dyDescent="0.2">
      <c r="B217" s="44" t="s">
        <v>670</v>
      </c>
      <c r="C217" s="45" t="s">
        <v>39</v>
      </c>
      <c r="D217" s="11" t="s">
        <v>24</v>
      </c>
      <c r="E217" s="59" t="s">
        <v>24</v>
      </c>
      <c r="F217" s="11" t="s">
        <v>79</v>
      </c>
      <c r="G217" s="11" t="s">
        <v>205</v>
      </c>
      <c r="H217" s="11" t="s">
        <v>258</v>
      </c>
      <c r="I217" s="11" t="s">
        <v>8</v>
      </c>
      <c r="J217" s="11" t="s">
        <v>255</v>
      </c>
      <c r="K217" s="9" t="s">
        <v>242</v>
      </c>
      <c r="L217" s="11" t="s">
        <v>540</v>
      </c>
      <c r="M217" s="46" t="s">
        <v>541</v>
      </c>
      <c r="N217" s="11" t="s">
        <v>35</v>
      </c>
      <c r="O217" s="11" t="s">
        <v>65</v>
      </c>
      <c r="P217" s="67" t="s">
        <v>571</v>
      </c>
      <c r="Q217" s="67" t="s">
        <v>51</v>
      </c>
      <c r="R217" s="76">
        <v>50</v>
      </c>
      <c r="S217" s="70">
        <v>46204</v>
      </c>
      <c r="T217" s="70" t="s">
        <v>285</v>
      </c>
      <c r="U217" s="70" t="s">
        <v>285</v>
      </c>
      <c r="V217" s="70">
        <v>46356</v>
      </c>
      <c r="W217" s="91">
        <f>225000+406.25+10502.61</f>
        <v>235908.86</v>
      </c>
      <c r="X217" s="47">
        <v>0</v>
      </c>
      <c r="Y217" s="58" t="s">
        <v>72</v>
      </c>
      <c r="Z217" s="58" t="s">
        <v>777</v>
      </c>
    </row>
    <row r="218" spans="2:26" ht="24" customHeight="1" x14ac:dyDescent="0.2">
      <c r="B218" s="44" t="s">
        <v>671</v>
      </c>
      <c r="C218" s="45" t="s">
        <v>39</v>
      </c>
      <c r="D218" s="11" t="s">
        <v>24</v>
      </c>
      <c r="E218" s="59" t="s">
        <v>24</v>
      </c>
      <c r="F218" s="11" t="s">
        <v>79</v>
      </c>
      <c r="G218" s="11" t="s">
        <v>205</v>
      </c>
      <c r="H218" s="11" t="s">
        <v>258</v>
      </c>
      <c r="I218" s="11" t="s">
        <v>8</v>
      </c>
      <c r="J218" s="11" t="s">
        <v>255</v>
      </c>
      <c r="K218" s="9" t="s">
        <v>242</v>
      </c>
      <c r="L218" s="11" t="s">
        <v>540</v>
      </c>
      <c r="M218" s="46" t="s">
        <v>541</v>
      </c>
      <c r="N218" s="11" t="s">
        <v>35</v>
      </c>
      <c r="O218" s="11" t="s">
        <v>65</v>
      </c>
      <c r="P218" s="67" t="s">
        <v>572</v>
      </c>
      <c r="Q218" s="67" t="s">
        <v>51</v>
      </c>
      <c r="R218" s="76">
        <v>1</v>
      </c>
      <c r="S218" s="70">
        <v>46143</v>
      </c>
      <c r="T218" s="70" t="s">
        <v>285</v>
      </c>
      <c r="U218" s="70" t="s">
        <v>285</v>
      </c>
      <c r="V218" s="70">
        <v>46387</v>
      </c>
      <c r="W218" s="91">
        <v>40000</v>
      </c>
      <c r="X218" s="47">
        <v>0</v>
      </c>
      <c r="Y218" s="58" t="s">
        <v>72</v>
      </c>
      <c r="Z218" s="58" t="s">
        <v>542</v>
      </c>
    </row>
    <row r="219" spans="2:26" ht="24" customHeight="1" x14ac:dyDescent="0.2">
      <c r="B219" s="44" t="s">
        <v>672</v>
      </c>
      <c r="C219" s="45" t="s">
        <v>39</v>
      </c>
      <c r="D219" s="11" t="s">
        <v>25</v>
      </c>
      <c r="E219" s="59" t="s">
        <v>25</v>
      </c>
      <c r="F219" s="11" t="s">
        <v>79</v>
      </c>
      <c r="G219" s="11" t="s">
        <v>595</v>
      </c>
      <c r="H219" s="11" t="s">
        <v>258</v>
      </c>
      <c r="I219" s="11" t="s">
        <v>8</v>
      </c>
      <c r="J219" s="11" t="s">
        <v>255</v>
      </c>
      <c r="K219" s="11" t="s">
        <v>253</v>
      </c>
      <c r="L219" s="11" t="s">
        <v>540</v>
      </c>
      <c r="M219" s="46" t="s">
        <v>541</v>
      </c>
      <c r="N219" s="11" t="s">
        <v>35</v>
      </c>
      <c r="O219" s="11" t="s">
        <v>65</v>
      </c>
      <c r="P219" s="67" t="s">
        <v>573</v>
      </c>
      <c r="Q219" s="67" t="s">
        <v>53</v>
      </c>
      <c r="R219" s="76">
        <f>W219</f>
        <v>3148.7999999999997</v>
      </c>
      <c r="S219" s="70">
        <v>46143</v>
      </c>
      <c r="T219" s="70" t="s">
        <v>285</v>
      </c>
      <c r="U219" s="70" t="s">
        <v>285</v>
      </c>
      <c r="V219" s="70">
        <v>46356</v>
      </c>
      <c r="W219" s="91">
        <f>3083+65.6+0.2</f>
        <v>3148.7999999999997</v>
      </c>
      <c r="X219" s="47">
        <v>0</v>
      </c>
      <c r="Y219" s="58" t="s">
        <v>72</v>
      </c>
      <c r="Z219" s="58" t="s">
        <v>778</v>
      </c>
    </row>
    <row r="220" spans="2:26" ht="24" customHeight="1" x14ac:dyDescent="0.2">
      <c r="B220" s="44" t="s">
        <v>673</v>
      </c>
      <c r="C220" s="45" t="s">
        <v>39</v>
      </c>
      <c r="D220" s="11" t="s">
        <v>25</v>
      </c>
      <c r="E220" s="59" t="s">
        <v>25</v>
      </c>
      <c r="F220" s="11" t="s">
        <v>79</v>
      </c>
      <c r="G220" s="11" t="s">
        <v>595</v>
      </c>
      <c r="H220" s="11" t="s">
        <v>258</v>
      </c>
      <c r="I220" s="11" t="s">
        <v>8</v>
      </c>
      <c r="J220" s="11" t="s">
        <v>255</v>
      </c>
      <c r="K220" s="9" t="s">
        <v>252</v>
      </c>
      <c r="L220" s="11" t="s">
        <v>540</v>
      </c>
      <c r="M220" s="46" t="s">
        <v>541</v>
      </c>
      <c r="N220" s="11" t="s">
        <v>35</v>
      </c>
      <c r="O220" s="11" t="s">
        <v>65</v>
      </c>
      <c r="P220" s="67" t="s">
        <v>574</v>
      </c>
      <c r="Q220" s="67" t="s">
        <v>45</v>
      </c>
      <c r="R220" s="76">
        <v>164</v>
      </c>
      <c r="S220" s="70">
        <v>46143</v>
      </c>
      <c r="T220" s="70" t="s">
        <v>285</v>
      </c>
      <c r="U220" s="70" t="s">
        <v>285</v>
      </c>
      <c r="V220" s="70">
        <v>46356</v>
      </c>
      <c r="W220" s="91">
        <f>15416+328</f>
        <v>15744</v>
      </c>
      <c r="X220" s="47">
        <v>0</v>
      </c>
      <c r="Y220" s="58" t="s">
        <v>72</v>
      </c>
      <c r="Z220" s="58" t="s">
        <v>779</v>
      </c>
    </row>
    <row r="221" spans="2:26" ht="36" x14ac:dyDescent="0.2">
      <c r="B221" s="44" t="s">
        <v>674</v>
      </c>
      <c r="C221" s="45" t="s">
        <v>39</v>
      </c>
      <c r="D221" s="11" t="s">
        <v>25</v>
      </c>
      <c r="E221" s="59" t="s">
        <v>25</v>
      </c>
      <c r="F221" s="11" t="s">
        <v>79</v>
      </c>
      <c r="G221" s="11" t="s">
        <v>595</v>
      </c>
      <c r="H221" s="11" t="s">
        <v>258</v>
      </c>
      <c r="I221" s="11" t="s">
        <v>8</v>
      </c>
      <c r="J221" s="11" t="s">
        <v>255</v>
      </c>
      <c r="K221" s="11" t="s">
        <v>253</v>
      </c>
      <c r="L221" s="11" t="s">
        <v>540</v>
      </c>
      <c r="M221" s="46" t="s">
        <v>541</v>
      </c>
      <c r="N221" s="11" t="s">
        <v>35</v>
      </c>
      <c r="O221" s="11" t="s">
        <v>65</v>
      </c>
      <c r="P221" s="67" t="s">
        <v>575</v>
      </c>
      <c r="Q221" s="67" t="s">
        <v>53</v>
      </c>
      <c r="R221" s="76">
        <f>W221</f>
        <v>435.59999999999997</v>
      </c>
      <c r="S221" s="70">
        <v>46143</v>
      </c>
      <c r="T221" s="70" t="s">
        <v>285</v>
      </c>
      <c r="U221" s="70" t="s">
        <v>285</v>
      </c>
      <c r="V221" s="70">
        <v>46356</v>
      </c>
      <c r="W221" s="91">
        <f>558-65.6- 56.8</f>
        <v>435.59999999999997</v>
      </c>
      <c r="X221" s="47">
        <v>0</v>
      </c>
      <c r="Y221" s="58" t="s">
        <v>72</v>
      </c>
      <c r="Z221" s="58" t="s">
        <v>780</v>
      </c>
    </row>
    <row r="222" spans="2:26" ht="36" x14ac:dyDescent="0.2">
      <c r="B222" s="44" t="s">
        <v>675</v>
      </c>
      <c r="C222" s="45" t="s">
        <v>39</v>
      </c>
      <c r="D222" s="11" t="s">
        <v>25</v>
      </c>
      <c r="E222" s="59" t="s">
        <v>25</v>
      </c>
      <c r="F222" s="11" t="s">
        <v>79</v>
      </c>
      <c r="G222" s="11" t="s">
        <v>595</v>
      </c>
      <c r="H222" s="11" t="s">
        <v>258</v>
      </c>
      <c r="I222" s="11" t="s">
        <v>8</v>
      </c>
      <c r="J222" s="11" t="s">
        <v>255</v>
      </c>
      <c r="K222" s="9" t="s">
        <v>252</v>
      </c>
      <c r="L222" s="11" t="s">
        <v>540</v>
      </c>
      <c r="M222" s="46" t="s">
        <v>541</v>
      </c>
      <c r="N222" s="67" t="s">
        <v>35</v>
      </c>
      <c r="O222" s="67" t="s">
        <v>65</v>
      </c>
      <c r="P222" s="67" t="s">
        <v>576</v>
      </c>
      <c r="Q222" s="67" t="s">
        <v>45</v>
      </c>
      <c r="R222" s="76">
        <v>164</v>
      </c>
      <c r="S222" s="70">
        <v>46143</v>
      </c>
      <c r="T222" s="70" t="s">
        <v>285</v>
      </c>
      <c r="U222" s="70" t="s">
        <v>285</v>
      </c>
      <c r="V222" s="70">
        <v>46356</v>
      </c>
      <c r="W222" s="91">
        <f>2788-328-284</f>
        <v>2176</v>
      </c>
      <c r="X222" s="47">
        <v>0</v>
      </c>
      <c r="Y222" s="58" t="s">
        <v>72</v>
      </c>
      <c r="Z222" s="58" t="s">
        <v>781</v>
      </c>
    </row>
    <row r="223" spans="2:26" ht="36" x14ac:dyDescent="0.2">
      <c r="B223" s="48" t="s">
        <v>676</v>
      </c>
      <c r="C223" s="49" t="s">
        <v>38</v>
      </c>
      <c r="D223" s="50" t="s">
        <v>237</v>
      </c>
      <c r="E223" s="74" t="s">
        <v>533</v>
      </c>
      <c r="F223" s="50" t="s">
        <v>79</v>
      </c>
      <c r="G223" s="50" t="s">
        <v>76</v>
      </c>
      <c r="H223" s="50" t="s">
        <v>258</v>
      </c>
      <c r="I223" s="50" t="s">
        <v>8</v>
      </c>
      <c r="J223" s="50" t="s">
        <v>255</v>
      </c>
      <c r="K223" s="51" t="s">
        <v>242</v>
      </c>
      <c r="L223" s="50" t="s">
        <v>540</v>
      </c>
      <c r="M223" s="52" t="s">
        <v>541</v>
      </c>
      <c r="N223" s="84" t="s">
        <v>35</v>
      </c>
      <c r="O223" s="50" t="s">
        <v>69</v>
      </c>
      <c r="P223" s="51" t="s">
        <v>535</v>
      </c>
      <c r="Q223" s="84" t="s">
        <v>41</v>
      </c>
      <c r="R223" s="88">
        <v>6</v>
      </c>
      <c r="S223" s="85">
        <v>46143</v>
      </c>
      <c r="T223" s="85" t="s">
        <v>285</v>
      </c>
      <c r="U223" s="85" t="s">
        <v>285</v>
      </c>
      <c r="V223" s="85" t="s">
        <v>285</v>
      </c>
      <c r="W223" s="92">
        <f>15000-10000-1020-3980</f>
        <v>0</v>
      </c>
      <c r="X223" s="55">
        <v>0</v>
      </c>
      <c r="Y223" s="86" t="s">
        <v>72</v>
      </c>
      <c r="Z223" s="58" t="s">
        <v>761</v>
      </c>
    </row>
    <row r="224" spans="2:26" ht="24" customHeight="1" x14ac:dyDescent="0.2">
      <c r="B224" s="44" t="s">
        <v>677</v>
      </c>
      <c r="C224" s="45" t="s">
        <v>495</v>
      </c>
      <c r="D224" s="11" t="s">
        <v>536</v>
      </c>
      <c r="E224" s="59" t="s">
        <v>536</v>
      </c>
      <c r="F224" s="11" t="s">
        <v>79</v>
      </c>
      <c r="G224" s="11" t="s">
        <v>76</v>
      </c>
      <c r="H224" s="11" t="s">
        <v>258</v>
      </c>
      <c r="I224" s="11" t="s">
        <v>8</v>
      </c>
      <c r="J224" s="11" t="s">
        <v>255</v>
      </c>
      <c r="K224" s="9" t="s">
        <v>242</v>
      </c>
      <c r="L224" s="11" t="s">
        <v>540</v>
      </c>
      <c r="M224" s="46" t="s">
        <v>541</v>
      </c>
      <c r="N224" s="67" t="s">
        <v>35</v>
      </c>
      <c r="O224" s="11" t="s">
        <v>69</v>
      </c>
      <c r="P224" s="9" t="s">
        <v>537</v>
      </c>
      <c r="Q224" s="67" t="s">
        <v>41</v>
      </c>
      <c r="R224" s="76">
        <v>1</v>
      </c>
      <c r="S224" s="70">
        <v>46235</v>
      </c>
      <c r="T224" s="70" t="s">
        <v>285</v>
      </c>
      <c r="U224" s="70" t="s">
        <v>285</v>
      </c>
      <c r="V224" s="70" t="s">
        <v>285</v>
      </c>
      <c r="W224" s="91">
        <v>9000</v>
      </c>
      <c r="X224" s="47">
        <v>0</v>
      </c>
      <c r="Y224" s="58" t="s">
        <v>72</v>
      </c>
      <c r="Z224" s="58" t="s">
        <v>542</v>
      </c>
    </row>
    <row r="225" spans="2:26" ht="24" customHeight="1" x14ac:dyDescent="0.2">
      <c r="B225" s="44" t="s">
        <v>678</v>
      </c>
      <c r="C225" s="45" t="s">
        <v>39</v>
      </c>
      <c r="D225" s="11" t="s">
        <v>24</v>
      </c>
      <c r="E225" s="59" t="s">
        <v>24</v>
      </c>
      <c r="F225" s="11" t="s">
        <v>79</v>
      </c>
      <c r="G225" s="11" t="s">
        <v>205</v>
      </c>
      <c r="H225" s="11" t="s">
        <v>258</v>
      </c>
      <c r="I225" s="11" t="s">
        <v>8</v>
      </c>
      <c r="J225" s="11" t="s">
        <v>255</v>
      </c>
      <c r="K225" s="9" t="s">
        <v>241</v>
      </c>
      <c r="L225" s="11" t="s">
        <v>540</v>
      </c>
      <c r="M225" s="46" t="s">
        <v>541</v>
      </c>
      <c r="N225" s="67" t="s">
        <v>35</v>
      </c>
      <c r="O225" s="67" t="s">
        <v>64</v>
      </c>
      <c r="P225" s="9" t="s">
        <v>577</v>
      </c>
      <c r="Q225" s="67" t="s">
        <v>53</v>
      </c>
      <c r="R225" s="76">
        <v>75000</v>
      </c>
      <c r="S225" s="70">
        <v>46204</v>
      </c>
      <c r="T225" s="70" t="s">
        <v>285</v>
      </c>
      <c r="U225" s="70" t="s">
        <v>285</v>
      </c>
      <c r="V225" s="70">
        <v>46356</v>
      </c>
      <c r="W225" s="91">
        <v>75000</v>
      </c>
      <c r="X225" s="47">
        <v>0</v>
      </c>
      <c r="Y225" s="58" t="s">
        <v>72</v>
      </c>
      <c r="Z225" s="58" t="s">
        <v>542</v>
      </c>
    </row>
    <row r="226" spans="2:26" ht="36" x14ac:dyDescent="0.2">
      <c r="B226" s="44" t="s">
        <v>679</v>
      </c>
      <c r="C226" s="45" t="s">
        <v>38</v>
      </c>
      <c r="D226" s="11" t="s">
        <v>16</v>
      </c>
      <c r="E226" s="59" t="s">
        <v>538</v>
      </c>
      <c r="F226" s="11" t="s">
        <v>79</v>
      </c>
      <c r="G226" s="11" t="s">
        <v>76</v>
      </c>
      <c r="H226" s="11" t="s">
        <v>258</v>
      </c>
      <c r="I226" s="11" t="s">
        <v>8</v>
      </c>
      <c r="J226" s="11" t="s">
        <v>255</v>
      </c>
      <c r="K226" s="9" t="s">
        <v>242</v>
      </c>
      <c r="L226" s="11" t="s">
        <v>540</v>
      </c>
      <c r="M226" s="46" t="s">
        <v>541</v>
      </c>
      <c r="N226" s="67" t="s">
        <v>35</v>
      </c>
      <c r="O226" s="11" t="s">
        <v>69</v>
      </c>
      <c r="P226" s="9" t="s">
        <v>539</v>
      </c>
      <c r="Q226" s="67" t="s">
        <v>41</v>
      </c>
      <c r="R226" s="76">
        <v>3</v>
      </c>
      <c r="S226" s="70">
        <v>46211</v>
      </c>
      <c r="T226" s="70" t="s">
        <v>285</v>
      </c>
      <c r="U226" s="70" t="s">
        <v>285</v>
      </c>
      <c r="V226" s="70" t="s">
        <v>285</v>
      </c>
      <c r="W226" s="91">
        <f>11400+5328+1152</f>
        <v>17880</v>
      </c>
      <c r="X226" s="47">
        <v>0</v>
      </c>
      <c r="Y226" s="58" t="s">
        <v>72</v>
      </c>
      <c r="Z226" s="58" t="s">
        <v>709</v>
      </c>
    </row>
    <row r="227" spans="2:26" ht="24" customHeight="1" x14ac:dyDescent="0.2">
      <c r="B227" s="44" t="s">
        <v>680</v>
      </c>
      <c r="C227" s="45" t="s">
        <v>38</v>
      </c>
      <c r="D227" s="11" t="s">
        <v>237</v>
      </c>
      <c r="E227" s="59" t="s">
        <v>237</v>
      </c>
      <c r="F227" s="11" t="s">
        <v>79</v>
      </c>
      <c r="G227" s="11" t="s">
        <v>200</v>
      </c>
      <c r="H227" s="11" t="s">
        <v>258</v>
      </c>
      <c r="I227" s="11" t="s">
        <v>8</v>
      </c>
      <c r="J227" s="9" t="s">
        <v>256</v>
      </c>
      <c r="K227" s="9" t="s">
        <v>242</v>
      </c>
      <c r="L227" s="11" t="s">
        <v>540</v>
      </c>
      <c r="M227" s="46" t="s">
        <v>541</v>
      </c>
      <c r="N227" s="11" t="s">
        <v>35</v>
      </c>
      <c r="O227" s="11" t="s">
        <v>65</v>
      </c>
      <c r="P227" s="9" t="s">
        <v>578</v>
      </c>
      <c r="Q227" s="9" t="s">
        <v>41</v>
      </c>
      <c r="R227" s="10">
        <v>6</v>
      </c>
      <c r="S227" s="42">
        <v>46296</v>
      </c>
      <c r="T227" s="42" t="s">
        <v>285</v>
      </c>
      <c r="U227" s="42" t="s">
        <v>285</v>
      </c>
      <c r="V227" s="42" t="s">
        <v>683</v>
      </c>
      <c r="W227" s="91">
        <v>1000</v>
      </c>
      <c r="X227" s="47">
        <v>0</v>
      </c>
      <c r="Y227" s="58" t="s">
        <v>72</v>
      </c>
      <c r="Z227" s="58" t="s">
        <v>542</v>
      </c>
    </row>
    <row r="228" spans="2:26" ht="24" customHeight="1" x14ac:dyDescent="0.2">
      <c r="B228" s="44" t="s">
        <v>681</v>
      </c>
      <c r="C228" s="45" t="s">
        <v>38</v>
      </c>
      <c r="D228" s="11" t="s">
        <v>237</v>
      </c>
      <c r="E228" s="59" t="s">
        <v>237</v>
      </c>
      <c r="F228" s="11" t="s">
        <v>79</v>
      </c>
      <c r="G228" s="11" t="s">
        <v>200</v>
      </c>
      <c r="H228" s="11" t="s">
        <v>258</v>
      </c>
      <c r="I228" s="11" t="s">
        <v>8</v>
      </c>
      <c r="J228" s="11" t="s">
        <v>255</v>
      </c>
      <c r="K228" s="9" t="s">
        <v>252</v>
      </c>
      <c r="L228" s="11" t="s">
        <v>540</v>
      </c>
      <c r="M228" s="46" t="s">
        <v>541</v>
      </c>
      <c r="N228" s="11" t="s">
        <v>35</v>
      </c>
      <c r="O228" s="11" t="s">
        <v>65</v>
      </c>
      <c r="P228" s="9" t="s">
        <v>579</v>
      </c>
      <c r="Q228" s="9" t="s">
        <v>45</v>
      </c>
      <c r="R228" s="10">
        <v>60</v>
      </c>
      <c r="S228" s="42">
        <v>46296</v>
      </c>
      <c r="T228" s="42" t="s">
        <v>285</v>
      </c>
      <c r="U228" s="42" t="s">
        <v>285</v>
      </c>
      <c r="V228" s="42" t="s">
        <v>683</v>
      </c>
      <c r="W228" s="91">
        <v>10000</v>
      </c>
      <c r="X228" s="47">
        <v>0</v>
      </c>
      <c r="Y228" s="58" t="s">
        <v>72</v>
      </c>
      <c r="Z228" s="58" t="s">
        <v>542</v>
      </c>
    </row>
    <row r="229" spans="2:26" ht="24" customHeight="1" x14ac:dyDescent="0.2">
      <c r="B229" s="44" t="s">
        <v>684</v>
      </c>
      <c r="C229" s="45" t="s">
        <v>40</v>
      </c>
      <c r="D229" s="11" t="s">
        <v>506</v>
      </c>
      <c r="E229" s="59" t="s">
        <v>506</v>
      </c>
      <c r="F229" s="11" t="s">
        <v>79</v>
      </c>
      <c r="G229" s="11" t="s">
        <v>76</v>
      </c>
      <c r="H229" s="11" t="s">
        <v>258</v>
      </c>
      <c r="I229" s="11" t="s">
        <v>8</v>
      </c>
      <c r="J229" s="11" t="s">
        <v>255</v>
      </c>
      <c r="K229" s="9" t="s">
        <v>242</v>
      </c>
      <c r="L229" s="11" t="s">
        <v>261</v>
      </c>
      <c r="M229" s="46" t="s">
        <v>229</v>
      </c>
      <c r="N229" s="11" t="s">
        <v>35</v>
      </c>
      <c r="O229" s="11" t="s">
        <v>69</v>
      </c>
      <c r="P229" s="9" t="s">
        <v>685</v>
      </c>
      <c r="Q229" s="9" t="s">
        <v>51</v>
      </c>
      <c r="R229" s="10">
        <v>1</v>
      </c>
      <c r="S229" s="42">
        <v>46143</v>
      </c>
      <c r="T229" s="42" t="s">
        <v>285</v>
      </c>
      <c r="U229" s="42" t="s">
        <v>285</v>
      </c>
      <c r="V229" s="42">
        <v>46173</v>
      </c>
      <c r="W229" s="91">
        <v>8000</v>
      </c>
      <c r="X229" s="47">
        <v>0</v>
      </c>
      <c r="Y229" s="58" t="s">
        <v>72</v>
      </c>
      <c r="Z229" s="58" t="s">
        <v>686</v>
      </c>
    </row>
    <row r="230" spans="2:26" ht="24" x14ac:dyDescent="0.2">
      <c r="B230" s="44" t="s">
        <v>695</v>
      </c>
      <c r="C230" s="82" t="s">
        <v>38</v>
      </c>
      <c r="D230" s="9" t="s">
        <v>696</v>
      </c>
      <c r="E230" s="59" t="s">
        <v>696</v>
      </c>
      <c r="F230" s="9" t="s">
        <v>79</v>
      </c>
      <c r="G230" s="9" t="s">
        <v>76</v>
      </c>
      <c r="H230" s="9" t="s">
        <v>258</v>
      </c>
      <c r="I230" s="9" t="s">
        <v>8</v>
      </c>
      <c r="J230" s="9" t="s">
        <v>255</v>
      </c>
      <c r="K230" s="9" t="s">
        <v>242</v>
      </c>
      <c r="L230" s="9" t="s">
        <v>540</v>
      </c>
      <c r="M230" s="83" t="s">
        <v>541</v>
      </c>
      <c r="N230" s="9" t="s">
        <v>35</v>
      </c>
      <c r="O230" s="9" t="s">
        <v>69</v>
      </c>
      <c r="P230" s="9" t="s">
        <v>798</v>
      </c>
      <c r="Q230" s="9" t="s">
        <v>41</v>
      </c>
      <c r="R230" s="56">
        <v>2</v>
      </c>
      <c r="S230" s="43">
        <v>46315</v>
      </c>
      <c r="T230" s="42" t="s">
        <v>285</v>
      </c>
      <c r="U230" s="42" t="s">
        <v>285</v>
      </c>
      <c r="V230" s="43">
        <v>46318</v>
      </c>
      <c r="W230" s="91">
        <v>8980</v>
      </c>
      <c r="X230" s="47">
        <v>0</v>
      </c>
      <c r="Y230" s="57" t="s">
        <v>72</v>
      </c>
      <c r="Z230" s="57" t="s">
        <v>697</v>
      </c>
    </row>
    <row r="231" spans="2:26" ht="24" customHeight="1" x14ac:dyDescent="0.2">
      <c r="B231" s="44" t="s">
        <v>698</v>
      </c>
      <c r="C231" s="82" t="s">
        <v>38</v>
      </c>
      <c r="D231" s="9" t="s">
        <v>38</v>
      </c>
      <c r="E231" s="59" t="s">
        <v>498</v>
      </c>
      <c r="F231" s="9" t="s">
        <v>79</v>
      </c>
      <c r="G231" s="9" t="s">
        <v>76</v>
      </c>
      <c r="H231" s="9" t="s">
        <v>258</v>
      </c>
      <c r="I231" s="9" t="s">
        <v>8</v>
      </c>
      <c r="J231" s="9" t="s">
        <v>255</v>
      </c>
      <c r="K231" s="9" t="s">
        <v>242</v>
      </c>
      <c r="L231" s="9" t="s">
        <v>540</v>
      </c>
      <c r="M231" s="83" t="s">
        <v>541</v>
      </c>
      <c r="N231" s="9" t="s">
        <v>35</v>
      </c>
      <c r="O231" s="9" t="s">
        <v>69</v>
      </c>
      <c r="P231" s="9" t="s">
        <v>796</v>
      </c>
      <c r="Q231" s="9" t="s">
        <v>41</v>
      </c>
      <c r="R231" s="56">
        <v>4</v>
      </c>
      <c r="S231" s="43">
        <v>46230</v>
      </c>
      <c r="T231" s="42" t="s">
        <v>285</v>
      </c>
      <c r="U231" s="42" t="s">
        <v>285</v>
      </c>
      <c r="V231" s="43">
        <v>46231</v>
      </c>
      <c r="W231" s="91">
        <f>8000+2376+1624</f>
        <v>12000</v>
      </c>
      <c r="X231" s="47">
        <v>0</v>
      </c>
      <c r="Y231" s="57" t="s">
        <v>72</v>
      </c>
      <c r="Z231" s="57" t="s">
        <v>740</v>
      </c>
    </row>
    <row r="232" spans="2:26" ht="24" customHeight="1" x14ac:dyDescent="0.2">
      <c r="B232" s="44" t="s">
        <v>699</v>
      </c>
      <c r="C232" s="82" t="s">
        <v>38</v>
      </c>
      <c r="D232" s="9" t="s">
        <v>524</v>
      </c>
      <c r="E232" s="59" t="s">
        <v>524</v>
      </c>
      <c r="F232" s="9" t="s">
        <v>79</v>
      </c>
      <c r="G232" s="9" t="s">
        <v>76</v>
      </c>
      <c r="H232" s="9" t="s">
        <v>258</v>
      </c>
      <c r="I232" s="9" t="s">
        <v>8</v>
      </c>
      <c r="J232" s="9" t="s">
        <v>255</v>
      </c>
      <c r="K232" s="9" t="s">
        <v>242</v>
      </c>
      <c r="L232" s="9" t="s">
        <v>540</v>
      </c>
      <c r="M232" s="83" t="s">
        <v>541</v>
      </c>
      <c r="N232" s="9" t="s">
        <v>35</v>
      </c>
      <c r="O232" s="9" t="s">
        <v>69</v>
      </c>
      <c r="P232" s="9" t="s">
        <v>797</v>
      </c>
      <c r="Q232" s="9" t="s">
        <v>41</v>
      </c>
      <c r="R232" s="56">
        <v>2</v>
      </c>
      <c r="S232" s="43">
        <v>46315</v>
      </c>
      <c r="T232" s="42" t="s">
        <v>285</v>
      </c>
      <c r="U232" s="42" t="s">
        <v>285</v>
      </c>
      <c r="V232" s="43">
        <v>46318</v>
      </c>
      <c r="W232" s="91">
        <v>8000</v>
      </c>
      <c r="X232" s="47">
        <v>0</v>
      </c>
      <c r="Y232" s="57" t="s">
        <v>72</v>
      </c>
      <c r="Z232" s="57" t="s">
        <v>697</v>
      </c>
    </row>
    <row r="233" spans="2:26" ht="24" customHeight="1" x14ac:dyDescent="0.2">
      <c r="B233" s="44" t="s">
        <v>700</v>
      </c>
      <c r="C233" s="82" t="s">
        <v>38</v>
      </c>
      <c r="D233" s="9" t="s">
        <v>524</v>
      </c>
      <c r="E233" s="59" t="s">
        <v>524</v>
      </c>
      <c r="F233" s="9" t="s">
        <v>79</v>
      </c>
      <c r="G233" s="9" t="s">
        <v>76</v>
      </c>
      <c r="H233" s="9" t="s">
        <v>258</v>
      </c>
      <c r="I233" s="9" t="s">
        <v>8</v>
      </c>
      <c r="J233" s="9" t="s">
        <v>255</v>
      </c>
      <c r="K233" s="9" t="s">
        <v>242</v>
      </c>
      <c r="L233" s="9" t="s">
        <v>540</v>
      </c>
      <c r="M233" s="83" t="s">
        <v>541</v>
      </c>
      <c r="N233" s="9" t="s">
        <v>35</v>
      </c>
      <c r="O233" s="9" t="s">
        <v>69</v>
      </c>
      <c r="P233" s="9" t="s">
        <v>750</v>
      </c>
      <c r="Q233" s="9" t="s">
        <v>41</v>
      </c>
      <c r="R233" s="56">
        <v>2</v>
      </c>
      <c r="S233" s="43">
        <v>46281</v>
      </c>
      <c r="T233" s="42" t="s">
        <v>285</v>
      </c>
      <c r="U233" s="42" t="s">
        <v>285</v>
      </c>
      <c r="V233" s="43">
        <v>46283</v>
      </c>
      <c r="W233" s="91">
        <v>7780</v>
      </c>
      <c r="X233" s="47">
        <v>0</v>
      </c>
      <c r="Y233" s="57" t="s">
        <v>72</v>
      </c>
      <c r="Z233" s="57" t="s">
        <v>697</v>
      </c>
    </row>
    <row r="234" spans="2:26" ht="24" customHeight="1" x14ac:dyDescent="0.2">
      <c r="B234" s="44" t="s">
        <v>701</v>
      </c>
      <c r="C234" s="82" t="s">
        <v>38</v>
      </c>
      <c r="D234" s="9" t="s">
        <v>702</v>
      </c>
      <c r="E234" s="59" t="s">
        <v>498</v>
      </c>
      <c r="F234" s="9" t="s">
        <v>79</v>
      </c>
      <c r="G234" s="9" t="s">
        <v>76</v>
      </c>
      <c r="H234" s="9" t="s">
        <v>258</v>
      </c>
      <c r="I234" s="9" t="s">
        <v>8</v>
      </c>
      <c r="J234" s="9" t="s">
        <v>255</v>
      </c>
      <c r="K234" s="9" t="s">
        <v>242</v>
      </c>
      <c r="L234" s="9" t="s">
        <v>540</v>
      </c>
      <c r="M234" s="83" t="s">
        <v>541</v>
      </c>
      <c r="N234" s="9" t="s">
        <v>35</v>
      </c>
      <c r="O234" s="9" t="s">
        <v>69</v>
      </c>
      <c r="P234" s="9" t="s">
        <v>795</v>
      </c>
      <c r="Q234" s="9" t="s">
        <v>41</v>
      </c>
      <c r="R234" s="56">
        <v>2</v>
      </c>
      <c r="S234" s="43">
        <v>46358</v>
      </c>
      <c r="T234" s="42" t="s">
        <v>285</v>
      </c>
      <c r="U234" s="42" t="s">
        <v>285</v>
      </c>
      <c r="V234" s="43">
        <v>46360</v>
      </c>
      <c r="W234" s="91">
        <v>7780</v>
      </c>
      <c r="X234" s="47">
        <v>0</v>
      </c>
      <c r="Y234" s="57" t="s">
        <v>72</v>
      </c>
      <c r="Z234" s="57" t="s">
        <v>703</v>
      </c>
    </row>
    <row r="235" spans="2:26" ht="24" customHeight="1" x14ac:dyDescent="0.2">
      <c r="B235" s="44" t="s">
        <v>705</v>
      </c>
      <c r="C235" s="82" t="s">
        <v>706</v>
      </c>
      <c r="D235" s="9" t="s">
        <v>38</v>
      </c>
      <c r="E235" s="59" t="s">
        <v>498</v>
      </c>
      <c r="F235" s="9" t="s">
        <v>79</v>
      </c>
      <c r="G235" s="9" t="s">
        <v>76</v>
      </c>
      <c r="H235" s="9" t="s">
        <v>258</v>
      </c>
      <c r="I235" s="9" t="s">
        <v>8</v>
      </c>
      <c r="J235" s="9" t="s">
        <v>255</v>
      </c>
      <c r="K235" s="9" t="s">
        <v>242</v>
      </c>
      <c r="L235" s="9" t="s">
        <v>540</v>
      </c>
      <c r="M235" s="83" t="s">
        <v>541</v>
      </c>
      <c r="N235" s="9" t="s">
        <v>35</v>
      </c>
      <c r="O235" s="9" t="s">
        <v>69</v>
      </c>
      <c r="P235" s="11" t="s">
        <v>751</v>
      </c>
      <c r="Q235" s="9" t="s">
        <v>41</v>
      </c>
      <c r="R235" s="56">
        <v>2</v>
      </c>
      <c r="S235" s="43">
        <v>46252</v>
      </c>
      <c r="T235" s="42" t="s">
        <v>285</v>
      </c>
      <c r="U235" s="42" t="s">
        <v>285</v>
      </c>
      <c r="V235" s="43">
        <v>46254</v>
      </c>
      <c r="W235" s="91">
        <f>10000</f>
        <v>10000</v>
      </c>
      <c r="X235" s="47">
        <v>0</v>
      </c>
      <c r="Y235" s="57" t="s">
        <v>708</v>
      </c>
      <c r="Z235" s="58" t="s">
        <v>755</v>
      </c>
    </row>
    <row r="236" spans="2:26" ht="24" customHeight="1" x14ac:dyDescent="0.2">
      <c r="B236" s="44" t="s">
        <v>707</v>
      </c>
      <c r="C236" s="82" t="s">
        <v>38</v>
      </c>
      <c r="D236" s="9" t="s">
        <v>38</v>
      </c>
      <c r="E236" s="59" t="s">
        <v>498</v>
      </c>
      <c r="F236" s="9" t="s">
        <v>79</v>
      </c>
      <c r="G236" s="9" t="s">
        <v>76</v>
      </c>
      <c r="H236" s="9" t="s">
        <v>258</v>
      </c>
      <c r="I236" s="9" t="s">
        <v>8</v>
      </c>
      <c r="J236" s="9" t="s">
        <v>255</v>
      </c>
      <c r="K236" s="9" t="s">
        <v>242</v>
      </c>
      <c r="L236" s="9" t="s">
        <v>540</v>
      </c>
      <c r="M236" s="83" t="s">
        <v>541</v>
      </c>
      <c r="N236" s="9" t="s">
        <v>35</v>
      </c>
      <c r="O236" s="9" t="s">
        <v>69</v>
      </c>
      <c r="P236" s="11" t="s">
        <v>752</v>
      </c>
      <c r="Q236" s="9" t="s">
        <v>41</v>
      </c>
      <c r="R236" s="56">
        <v>2</v>
      </c>
      <c r="S236" s="43">
        <v>46188</v>
      </c>
      <c r="T236" s="42" t="s">
        <v>285</v>
      </c>
      <c r="U236" s="42" t="s">
        <v>285</v>
      </c>
      <c r="V236" s="43">
        <v>46189</v>
      </c>
      <c r="W236" s="91">
        <f>6000</f>
        <v>6000</v>
      </c>
      <c r="X236" s="47">
        <v>0</v>
      </c>
      <c r="Y236" s="57" t="s">
        <v>708</v>
      </c>
      <c r="Z236" s="58" t="s">
        <v>753</v>
      </c>
    </row>
    <row r="237" spans="2:26" ht="24" customHeight="1" x14ac:dyDescent="0.2">
      <c r="B237" s="44" t="s">
        <v>717</v>
      </c>
      <c r="C237" s="82" t="s">
        <v>38</v>
      </c>
      <c r="D237" s="9" t="s">
        <v>16</v>
      </c>
      <c r="E237" s="59" t="s">
        <v>16</v>
      </c>
      <c r="F237" s="9" t="s">
        <v>79</v>
      </c>
      <c r="G237" s="9" t="s">
        <v>76</v>
      </c>
      <c r="H237" s="9" t="s">
        <v>258</v>
      </c>
      <c r="I237" s="9" t="s">
        <v>8</v>
      </c>
      <c r="J237" s="9" t="s">
        <v>255</v>
      </c>
      <c r="K237" s="9" t="s">
        <v>252</v>
      </c>
      <c r="L237" s="9" t="s">
        <v>540</v>
      </c>
      <c r="M237" s="83" t="s">
        <v>541</v>
      </c>
      <c r="N237" s="9" t="s">
        <v>35</v>
      </c>
      <c r="O237" s="9" t="s">
        <v>69</v>
      </c>
      <c r="P237" s="9" t="s">
        <v>718</v>
      </c>
      <c r="Q237" s="67" t="s">
        <v>45</v>
      </c>
      <c r="R237" s="10">
        <v>20</v>
      </c>
      <c r="S237" s="43">
        <v>46204</v>
      </c>
      <c r="T237" s="42" t="s">
        <v>285</v>
      </c>
      <c r="U237" s="42" t="s">
        <v>285</v>
      </c>
      <c r="V237" s="43">
        <v>46387</v>
      </c>
      <c r="W237" s="91">
        <f>732+9644+40000-1920-195</f>
        <v>48261</v>
      </c>
      <c r="X237" s="47">
        <v>0</v>
      </c>
      <c r="Y237" s="57" t="s">
        <v>708</v>
      </c>
      <c r="Z237" s="57" t="s">
        <v>824</v>
      </c>
    </row>
    <row r="238" spans="2:26" ht="24" customHeight="1" x14ac:dyDescent="0.2">
      <c r="B238" s="44" t="s">
        <v>720</v>
      </c>
      <c r="C238" s="82" t="s">
        <v>38</v>
      </c>
      <c r="D238" s="9" t="s">
        <v>16</v>
      </c>
      <c r="E238" s="59" t="s">
        <v>16</v>
      </c>
      <c r="F238" s="9" t="s">
        <v>79</v>
      </c>
      <c r="G238" s="9" t="s">
        <v>76</v>
      </c>
      <c r="H238" s="9" t="s">
        <v>258</v>
      </c>
      <c r="I238" s="9" t="s">
        <v>8</v>
      </c>
      <c r="J238" s="9" t="s">
        <v>255</v>
      </c>
      <c r="K238" s="11" t="s">
        <v>253</v>
      </c>
      <c r="L238" s="9" t="s">
        <v>540</v>
      </c>
      <c r="M238" s="83" t="s">
        <v>541</v>
      </c>
      <c r="N238" s="9" t="s">
        <v>35</v>
      </c>
      <c r="O238" s="9" t="s">
        <v>69</v>
      </c>
      <c r="P238" s="9" t="s">
        <v>719</v>
      </c>
      <c r="Q238" s="67" t="s">
        <v>53</v>
      </c>
      <c r="R238" s="10">
        <f>W238</f>
        <v>10400</v>
      </c>
      <c r="S238" s="43">
        <v>46204</v>
      </c>
      <c r="T238" s="42" t="s">
        <v>285</v>
      </c>
      <c r="U238" s="42" t="s">
        <v>285</v>
      </c>
      <c r="V238" s="43">
        <v>46387</v>
      </c>
      <c r="W238" s="91">
        <f>1668+8732</f>
        <v>10400</v>
      </c>
      <c r="X238" s="47">
        <v>0</v>
      </c>
      <c r="Y238" s="57" t="s">
        <v>708</v>
      </c>
      <c r="Z238" s="57" t="s">
        <v>726</v>
      </c>
    </row>
    <row r="239" spans="2:26" ht="24" customHeight="1" x14ac:dyDescent="0.2">
      <c r="B239" s="44" t="s">
        <v>721</v>
      </c>
      <c r="C239" s="82" t="s">
        <v>38</v>
      </c>
      <c r="D239" s="9" t="s">
        <v>16</v>
      </c>
      <c r="E239" s="59" t="s">
        <v>16</v>
      </c>
      <c r="F239" s="9" t="s">
        <v>79</v>
      </c>
      <c r="G239" s="9" t="s">
        <v>76</v>
      </c>
      <c r="H239" s="9" t="s">
        <v>258</v>
      </c>
      <c r="I239" s="9" t="s">
        <v>8</v>
      </c>
      <c r="J239" s="9" t="s">
        <v>255</v>
      </c>
      <c r="K239" s="9" t="s">
        <v>252</v>
      </c>
      <c r="L239" s="9" t="s">
        <v>540</v>
      </c>
      <c r="M239" s="83" t="s">
        <v>541</v>
      </c>
      <c r="N239" s="9" t="s">
        <v>35</v>
      </c>
      <c r="O239" s="9" t="s">
        <v>69</v>
      </c>
      <c r="P239" s="9" t="s">
        <v>734</v>
      </c>
      <c r="Q239" s="67" t="s">
        <v>45</v>
      </c>
      <c r="R239" s="10">
        <v>8</v>
      </c>
      <c r="S239" s="43">
        <v>46204</v>
      </c>
      <c r="T239" s="42" t="s">
        <v>285</v>
      </c>
      <c r="U239" s="42" t="s">
        <v>285</v>
      </c>
      <c r="V239" s="43">
        <v>46387</v>
      </c>
      <c r="W239" s="91">
        <f>12077-38</f>
        <v>12039</v>
      </c>
      <c r="X239" s="47">
        <v>0</v>
      </c>
      <c r="Y239" s="57" t="s">
        <v>708</v>
      </c>
      <c r="Z239" s="57" t="s">
        <v>727</v>
      </c>
    </row>
    <row r="240" spans="2:26" ht="24" customHeight="1" x14ac:dyDescent="0.2">
      <c r="B240" s="44" t="s">
        <v>722</v>
      </c>
      <c r="C240" s="82" t="s">
        <v>38</v>
      </c>
      <c r="D240" s="9" t="s">
        <v>16</v>
      </c>
      <c r="E240" s="59" t="s">
        <v>16</v>
      </c>
      <c r="F240" s="9" t="s">
        <v>79</v>
      </c>
      <c r="G240" s="9" t="s">
        <v>76</v>
      </c>
      <c r="H240" s="9" t="s">
        <v>258</v>
      </c>
      <c r="I240" s="9" t="s">
        <v>8</v>
      </c>
      <c r="J240" s="9" t="s">
        <v>255</v>
      </c>
      <c r="K240" s="11" t="s">
        <v>253</v>
      </c>
      <c r="L240" s="9" t="s">
        <v>540</v>
      </c>
      <c r="M240" s="83" t="s">
        <v>541</v>
      </c>
      <c r="N240" s="9" t="s">
        <v>35</v>
      </c>
      <c r="O240" s="9" t="s">
        <v>69</v>
      </c>
      <c r="P240" s="9" t="s">
        <v>733</v>
      </c>
      <c r="Q240" s="67" t="s">
        <v>53</v>
      </c>
      <c r="R240" s="56">
        <f>W240</f>
        <v>2411</v>
      </c>
      <c r="S240" s="43">
        <v>46204</v>
      </c>
      <c r="T240" s="42" t="s">
        <v>285</v>
      </c>
      <c r="U240" s="42" t="s">
        <v>285</v>
      </c>
      <c r="V240" s="43">
        <v>46387</v>
      </c>
      <c r="W240" s="91">
        <f>2415-4</f>
        <v>2411</v>
      </c>
      <c r="X240" s="47">
        <v>0</v>
      </c>
      <c r="Y240" s="57" t="s">
        <v>708</v>
      </c>
      <c r="Z240" s="57" t="s">
        <v>727</v>
      </c>
    </row>
    <row r="241" spans="2:26" ht="24" customHeight="1" x14ac:dyDescent="0.2">
      <c r="B241" s="44" t="s">
        <v>723</v>
      </c>
      <c r="C241" s="82" t="s">
        <v>40</v>
      </c>
      <c r="D241" s="9" t="s">
        <v>506</v>
      </c>
      <c r="E241" s="59" t="s">
        <v>506</v>
      </c>
      <c r="F241" s="9" t="s">
        <v>79</v>
      </c>
      <c r="G241" s="9" t="s">
        <v>85</v>
      </c>
      <c r="H241" s="9" t="s">
        <v>258</v>
      </c>
      <c r="I241" s="9" t="s">
        <v>8</v>
      </c>
      <c r="J241" s="9" t="s">
        <v>255</v>
      </c>
      <c r="K241" s="9" t="s">
        <v>252</v>
      </c>
      <c r="L241" s="9" t="s">
        <v>540</v>
      </c>
      <c r="M241" s="83" t="s">
        <v>541</v>
      </c>
      <c r="N241" s="9" t="s">
        <v>35</v>
      </c>
      <c r="O241" s="9" t="s">
        <v>69</v>
      </c>
      <c r="P241" s="9" t="s">
        <v>735</v>
      </c>
      <c r="Q241" s="67" t="s">
        <v>45</v>
      </c>
      <c r="R241" s="56">
        <v>60</v>
      </c>
      <c r="S241" s="43">
        <v>46327</v>
      </c>
      <c r="T241" s="42" t="s">
        <v>285</v>
      </c>
      <c r="U241" s="42" t="s">
        <v>285</v>
      </c>
      <c r="V241" s="43">
        <v>46387</v>
      </c>
      <c r="W241" s="91">
        <f>4602+2748+30</f>
        <v>7380</v>
      </c>
      <c r="X241" s="47">
        <v>0</v>
      </c>
      <c r="Y241" s="57" t="s">
        <v>708</v>
      </c>
      <c r="Z241" s="57" t="s">
        <v>737</v>
      </c>
    </row>
    <row r="242" spans="2:26" ht="24" customHeight="1" x14ac:dyDescent="0.2">
      <c r="B242" s="44" t="s">
        <v>724</v>
      </c>
      <c r="C242" s="82" t="s">
        <v>40</v>
      </c>
      <c r="D242" s="9" t="s">
        <v>506</v>
      </c>
      <c r="E242" s="59" t="s">
        <v>506</v>
      </c>
      <c r="F242" s="9" t="s">
        <v>79</v>
      </c>
      <c r="G242" s="9" t="s">
        <v>85</v>
      </c>
      <c r="H242" s="9" t="s">
        <v>258</v>
      </c>
      <c r="I242" s="9" t="s">
        <v>8</v>
      </c>
      <c r="J242" s="9" t="s">
        <v>255</v>
      </c>
      <c r="K242" s="11" t="s">
        <v>253</v>
      </c>
      <c r="L242" s="9" t="s">
        <v>540</v>
      </c>
      <c r="M242" s="83" t="s">
        <v>541</v>
      </c>
      <c r="N242" s="9" t="s">
        <v>35</v>
      </c>
      <c r="O242" s="9" t="s">
        <v>69</v>
      </c>
      <c r="P242" s="9" t="s">
        <v>736</v>
      </c>
      <c r="Q242" s="67" t="s">
        <v>53</v>
      </c>
      <c r="R242" s="56">
        <f>W242</f>
        <v>1476</v>
      </c>
      <c r="S242" s="43">
        <v>46327</v>
      </c>
      <c r="T242" s="42" t="s">
        <v>285</v>
      </c>
      <c r="U242" s="42" t="s">
        <v>285</v>
      </c>
      <c r="V242" s="43">
        <v>46387</v>
      </c>
      <c r="W242" s="91">
        <v>1476</v>
      </c>
      <c r="X242" s="47">
        <v>0</v>
      </c>
      <c r="Y242" s="57" t="s">
        <v>708</v>
      </c>
      <c r="Z242" s="57" t="s">
        <v>738</v>
      </c>
    </row>
    <row r="243" spans="2:26" ht="24" customHeight="1" x14ac:dyDescent="0.2">
      <c r="B243" s="44" t="s">
        <v>725</v>
      </c>
      <c r="C243" s="82" t="s">
        <v>38</v>
      </c>
      <c r="D243" s="9" t="s">
        <v>533</v>
      </c>
      <c r="E243" s="9" t="s">
        <v>533</v>
      </c>
      <c r="F243" s="9" t="s">
        <v>79</v>
      </c>
      <c r="G243" s="9" t="s">
        <v>76</v>
      </c>
      <c r="H243" s="9" t="s">
        <v>258</v>
      </c>
      <c r="I243" s="9" t="s">
        <v>8</v>
      </c>
      <c r="J243" s="9" t="s">
        <v>255</v>
      </c>
      <c r="K243" s="11" t="s">
        <v>242</v>
      </c>
      <c r="L243" s="9" t="s">
        <v>540</v>
      </c>
      <c r="M243" s="83" t="s">
        <v>541</v>
      </c>
      <c r="N243" s="9" t="s">
        <v>35</v>
      </c>
      <c r="O243" s="9" t="s">
        <v>69</v>
      </c>
      <c r="P243" s="9" t="s">
        <v>741</v>
      </c>
      <c r="Q243" s="67" t="s">
        <v>41</v>
      </c>
      <c r="R243" s="56">
        <v>2</v>
      </c>
      <c r="S243" s="43">
        <v>46343</v>
      </c>
      <c r="T243" s="42" t="s">
        <v>285</v>
      </c>
      <c r="U243" s="42" t="s">
        <v>285</v>
      </c>
      <c r="V243" s="43">
        <v>46387</v>
      </c>
      <c r="W243" s="91">
        <v>600</v>
      </c>
      <c r="X243" s="47">
        <v>0</v>
      </c>
      <c r="Y243" s="57" t="s">
        <v>708</v>
      </c>
      <c r="Z243" s="57" t="s">
        <v>738</v>
      </c>
    </row>
    <row r="244" spans="2:26" ht="24" customHeight="1" x14ac:dyDescent="0.2">
      <c r="B244" s="44" t="s">
        <v>743</v>
      </c>
      <c r="C244" s="82" t="s">
        <v>40</v>
      </c>
      <c r="D244" s="9" t="s">
        <v>14</v>
      </c>
      <c r="E244" s="9" t="s">
        <v>27</v>
      </c>
      <c r="F244" s="9" t="s">
        <v>78</v>
      </c>
      <c r="G244" s="9" t="s">
        <v>431</v>
      </c>
      <c r="H244" s="9" t="s">
        <v>260</v>
      </c>
      <c r="I244" s="9" t="s">
        <v>9</v>
      </c>
      <c r="J244" s="9" t="s">
        <v>255</v>
      </c>
      <c r="K244" s="11" t="s">
        <v>748</v>
      </c>
      <c r="L244" s="9" t="s">
        <v>261</v>
      </c>
      <c r="M244" s="83" t="s">
        <v>229</v>
      </c>
      <c r="N244" s="9" t="s">
        <v>746</v>
      </c>
      <c r="O244" s="9" t="s">
        <v>68</v>
      </c>
      <c r="P244" s="9" t="s">
        <v>744</v>
      </c>
      <c r="Q244" s="67" t="s">
        <v>41</v>
      </c>
      <c r="R244" s="56">
        <v>2</v>
      </c>
      <c r="S244" s="43">
        <v>46237</v>
      </c>
      <c r="T244" s="42" t="s">
        <v>285</v>
      </c>
      <c r="U244" s="42" t="s">
        <v>285</v>
      </c>
      <c r="V244" s="43" t="s">
        <v>285</v>
      </c>
      <c r="W244" s="91">
        <v>3000</v>
      </c>
      <c r="X244" s="47">
        <v>0</v>
      </c>
      <c r="Y244" s="57" t="s">
        <v>708</v>
      </c>
      <c r="Z244" s="57" t="s">
        <v>745</v>
      </c>
    </row>
    <row r="245" spans="2:26" ht="24" customHeight="1" x14ac:dyDescent="0.2">
      <c r="B245" s="44" t="s">
        <v>756</v>
      </c>
      <c r="C245" s="82" t="s">
        <v>40</v>
      </c>
      <c r="D245" s="9" t="s">
        <v>14</v>
      </c>
      <c r="E245" s="9" t="s">
        <v>27</v>
      </c>
      <c r="F245" s="9" t="s">
        <v>78</v>
      </c>
      <c r="G245" s="9" t="s">
        <v>76</v>
      </c>
      <c r="H245" s="9" t="s">
        <v>258</v>
      </c>
      <c r="I245" s="9" t="s">
        <v>8</v>
      </c>
      <c r="J245" s="9" t="s">
        <v>255</v>
      </c>
      <c r="K245" s="11" t="s">
        <v>749</v>
      </c>
      <c r="L245" s="9" t="s">
        <v>261</v>
      </c>
      <c r="M245" s="83" t="s">
        <v>229</v>
      </c>
      <c r="N245" s="9" t="s">
        <v>746</v>
      </c>
      <c r="O245" s="9" t="s">
        <v>68</v>
      </c>
      <c r="P245" s="9" t="s">
        <v>747</v>
      </c>
      <c r="Q245" s="67" t="s">
        <v>41</v>
      </c>
      <c r="R245" s="56">
        <v>1</v>
      </c>
      <c r="S245" s="43">
        <v>46237</v>
      </c>
      <c r="T245" s="42" t="s">
        <v>285</v>
      </c>
      <c r="U245" s="42" t="s">
        <v>285</v>
      </c>
      <c r="V245" s="43" t="s">
        <v>285</v>
      </c>
      <c r="W245" s="91">
        <v>395</v>
      </c>
      <c r="X245" s="47">
        <v>0</v>
      </c>
      <c r="Y245" s="57" t="s">
        <v>708</v>
      </c>
      <c r="Z245" s="57" t="s">
        <v>686</v>
      </c>
    </row>
    <row r="246" spans="2:26" ht="24" customHeight="1" x14ac:dyDescent="0.2">
      <c r="B246" s="44" t="s">
        <v>759</v>
      </c>
      <c r="C246" s="82" t="s">
        <v>38</v>
      </c>
      <c r="D246" s="9" t="s">
        <v>702</v>
      </c>
      <c r="E246" s="9" t="s">
        <v>498</v>
      </c>
      <c r="F246" s="9" t="s">
        <v>79</v>
      </c>
      <c r="G246" s="9" t="s">
        <v>76</v>
      </c>
      <c r="H246" s="9" t="s">
        <v>258</v>
      </c>
      <c r="I246" s="9" t="s">
        <v>8</v>
      </c>
      <c r="J246" s="9" t="s">
        <v>255</v>
      </c>
      <c r="K246" s="11" t="s">
        <v>242</v>
      </c>
      <c r="L246" s="9" t="s">
        <v>540</v>
      </c>
      <c r="M246" s="83" t="s">
        <v>541</v>
      </c>
      <c r="N246" s="9" t="s">
        <v>35</v>
      </c>
      <c r="O246" s="9" t="s">
        <v>69</v>
      </c>
      <c r="P246" s="9" t="s">
        <v>757</v>
      </c>
      <c r="Q246" s="67" t="s">
        <v>41</v>
      </c>
      <c r="R246" s="56">
        <v>2</v>
      </c>
      <c r="S246" s="43">
        <v>46296</v>
      </c>
      <c r="T246" s="42" t="s">
        <v>285</v>
      </c>
      <c r="U246" s="42" t="s">
        <v>285</v>
      </c>
      <c r="V246" s="43">
        <v>46387</v>
      </c>
      <c r="W246" s="91">
        <f>8980+1020</f>
        <v>10000</v>
      </c>
      <c r="X246" s="47">
        <v>0</v>
      </c>
      <c r="Y246" s="57" t="s">
        <v>72</v>
      </c>
      <c r="Z246" s="57" t="s">
        <v>758</v>
      </c>
    </row>
    <row r="247" spans="2:26" ht="24" customHeight="1" x14ac:dyDescent="0.2">
      <c r="B247" s="44" t="s">
        <v>782</v>
      </c>
      <c r="C247" s="45" t="s">
        <v>38</v>
      </c>
      <c r="D247" s="11" t="s">
        <v>15</v>
      </c>
      <c r="E247" s="59" t="s">
        <v>15</v>
      </c>
      <c r="F247" s="11" t="s">
        <v>79</v>
      </c>
      <c r="G247" s="11" t="s">
        <v>76</v>
      </c>
      <c r="H247" s="11" t="s">
        <v>258</v>
      </c>
      <c r="I247" s="11" t="s">
        <v>8</v>
      </c>
      <c r="J247" s="11" t="s">
        <v>255</v>
      </c>
      <c r="K247" s="9" t="s">
        <v>242</v>
      </c>
      <c r="L247" s="11" t="s">
        <v>540</v>
      </c>
      <c r="M247" s="46" t="s">
        <v>541</v>
      </c>
      <c r="N247" s="67" t="s">
        <v>35</v>
      </c>
      <c r="O247" s="11" t="s">
        <v>69</v>
      </c>
      <c r="P247" s="9" t="s">
        <v>783</v>
      </c>
      <c r="Q247" s="9" t="s">
        <v>41</v>
      </c>
      <c r="R247" s="56">
        <v>4</v>
      </c>
      <c r="S247" s="43">
        <v>46309</v>
      </c>
      <c r="T247" s="42" t="s">
        <v>285</v>
      </c>
      <c r="U247" s="42" t="s">
        <v>285</v>
      </c>
      <c r="V247" s="43">
        <v>46311</v>
      </c>
      <c r="W247" s="91">
        <f>12870+5049</f>
        <v>17919</v>
      </c>
      <c r="X247" s="47">
        <v>0</v>
      </c>
      <c r="Y247" s="57" t="s">
        <v>72</v>
      </c>
      <c r="Z247" s="57" t="s">
        <v>799</v>
      </c>
    </row>
    <row r="248" spans="2:26" ht="24" customHeight="1" x14ac:dyDescent="0.2">
      <c r="B248" s="44" t="s">
        <v>787</v>
      </c>
      <c r="C248" s="45" t="s">
        <v>40</v>
      </c>
      <c r="D248" s="11" t="s">
        <v>21</v>
      </c>
      <c r="E248" s="59" t="s">
        <v>21</v>
      </c>
      <c r="F248" s="11" t="s">
        <v>79</v>
      </c>
      <c r="G248" s="11" t="s">
        <v>76</v>
      </c>
      <c r="H248" s="11" t="s">
        <v>258</v>
      </c>
      <c r="I248" s="11" t="s">
        <v>8</v>
      </c>
      <c r="J248" s="11" t="s">
        <v>255</v>
      </c>
      <c r="K248" s="9" t="s">
        <v>242</v>
      </c>
      <c r="L248" s="11" t="s">
        <v>540</v>
      </c>
      <c r="M248" s="46" t="s">
        <v>541</v>
      </c>
      <c r="N248" s="67" t="s">
        <v>35</v>
      </c>
      <c r="O248" s="11" t="s">
        <v>69</v>
      </c>
      <c r="P248" s="9" t="s">
        <v>788</v>
      </c>
      <c r="Q248" s="9" t="s">
        <v>41</v>
      </c>
      <c r="R248" s="56">
        <v>3</v>
      </c>
      <c r="S248" s="43">
        <v>46309</v>
      </c>
      <c r="T248" s="42" t="s">
        <v>285</v>
      </c>
      <c r="U248" s="42" t="s">
        <v>285</v>
      </c>
      <c r="V248" s="43">
        <v>46313</v>
      </c>
      <c r="W248" s="91">
        <v>10380</v>
      </c>
      <c r="X248" s="47">
        <v>0</v>
      </c>
      <c r="Y248" s="57" t="s">
        <v>72</v>
      </c>
      <c r="Z248" s="57" t="s">
        <v>789</v>
      </c>
    </row>
    <row r="249" spans="2:26" ht="24" customHeight="1" x14ac:dyDescent="0.2">
      <c r="B249" s="44" t="s">
        <v>791</v>
      </c>
      <c r="C249" s="45" t="s">
        <v>38</v>
      </c>
      <c r="D249" s="11" t="s">
        <v>533</v>
      </c>
      <c r="E249" s="59" t="s">
        <v>533</v>
      </c>
      <c r="F249" s="11" t="s">
        <v>79</v>
      </c>
      <c r="G249" s="11" t="s">
        <v>76</v>
      </c>
      <c r="H249" s="11" t="s">
        <v>258</v>
      </c>
      <c r="I249" s="11" t="s">
        <v>8</v>
      </c>
      <c r="J249" s="11" t="s">
        <v>255</v>
      </c>
      <c r="K249" s="9" t="s">
        <v>242</v>
      </c>
      <c r="L249" s="11" t="s">
        <v>540</v>
      </c>
      <c r="M249" s="46" t="s">
        <v>541</v>
      </c>
      <c r="N249" s="67" t="s">
        <v>35</v>
      </c>
      <c r="O249" s="11" t="s">
        <v>69</v>
      </c>
      <c r="P249" s="96" t="s">
        <v>790</v>
      </c>
      <c r="Q249" s="9" t="s">
        <v>41</v>
      </c>
      <c r="R249" s="56">
        <v>1</v>
      </c>
      <c r="S249" s="43">
        <v>46294</v>
      </c>
      <c r="T249" s="42" t="s">
        <v>285</v>
      </c>
      <c r="U249" s="42" t="s">
        <v>285</v>
      </c>
      <c r="V249" s="43">
        <v>46295</v>
      </c>
      <c r="W249" s="91">
        <v>90</v>
      </c>
      <c r="X249" s="47">
        <v>0</v>
      </c>
      <c r="Y249" s="57" t="s">
        <v>72</v>
      </c>
      <c r="Z249" s="57" t="s">
        <v>804</v>
      </c>
    </row>
    <row r="250" spans="2:26" ht="24" customHeight="1" x14ac:dyDescent="0.2">
      <c r="B250" s="44" t="s">
        <v>792</v>
      </c>
      <c r="C250" s="82" t="s">
        <v>38</v>
      </c>
      <c r="D250" s="9" t="s">
        <v>16</v>
      </c>
      <c r="E250" s="59" t="s">
        <v>16</v>
      </c>
      <c r="F250" s="9" t="s">
        <v>79</v>
      </c>
      <c r="G250" s="9" t="s">
        <v>76</v>
      </c>
      <c r="H250" s="9" t="s">
        <v>258</v>
      </c>
      <c r="I250" s="9" t="s">
        <v>8</v>
      </c>
      <c r="J250" s="9" t="s">
        <v>255</v>
      </c>
      <c r="K250" s="11" t="s">
        <v>242</v>
      </c>
      <c r="L250" s="9" t="s">
        <v>540</v>
      </c>
      <c r="M250" s="83" t="s">
        <v>541</v>
      </c>
      <c r="N250" s="9" t="s">
        <v>35</v>
      </c>
      <c r="O250" s="9" t="s">
        <v>69</v>
      </c>
      <c r="P250" s="9" t="s">
        <v>801</v>
      </c>
      <c r="Q250" s="67" t="s">
        <v>41</v>
      </c>
      <c r="R250" s="10">
        <v>1</v>
      </c>
      <c r="S250" s="43">
        <v>46309</v>
      </c>
      <c r="T250" s="42" t="s">
        <v>285</v>
      </c>
      <c r="U250" s="42" t="s">
        <v>285</v>
      </c>
      <c r="V250" s="43">
        <v>46311</v>
      </c>
      <c r="W250" s="91">
        <f>4095+195</f>
        <v>4290</v>
      </c>
      <c r="X250" s="47">
        <v>0</v>
      </c>
      <c r="Y250" s="57" t="s">
        <v>708</v>
      </c>
      <c r="Z250" s="57" t="s">
        <v>802</v>
      </c>
    </row>
    <row r="251" spans="2:26" ht="36" x14ac:dyDescent="0.2">
      <c r="B251" s="44" t="s">
        <v>800</v>
      </c>
      <c r="C251" s="45" t="s">
        <v>40</v>
      </c>
      <c r="D251" s="11" t="s">
        <v>27</v>
      </c>
      <c r="E251" s="59" t="s">
        <v>27</v>
      </c>
      <c r="F251" s="11" t="s">
        <v>78</v>
      </c>
      <c r="G251" s="11" t="s">
        <v>76</v>
      </c>
      <c r="H251" s="11" t="s">
        <v>258</v>
      </c>
      <c r="I251" s="11" t="s">
        <v>8</v>
      </c>
      <c r="J251" s="9" t="s">
        <v>255</v>
      </c>
      <c r="K251" s="9" t="s">
        <v>242</v>
      </c>
      <c r="L251" s="11" t="s">
        <v>261</v>
      </c>
      <c r="M251" s="46" t="s">
        <v>229</v>
      </c>
      <c r="N251" s="11" t="s">
        <v>35</v>
      </c>
      <c r="O251" s="97" t="s">
        <v>68</v>
      </c>
      <c r="P251" s="9" t="s">
        <v>805</v>
      </c>
      <c r="Q251" s="82" t="s">
        <v>51</v>
      </c>
      <c r="R251" s="56">
        <v>1</v>
      </c>
      <c r="S251" s="43">
        <v>46327</v>
      </c>
      <c r="T251" s="42" t="s">
        <v>285</v>
      </c>
      <c r="U251" s="42" t="s">
        <v>285</v>
      </c>
      <c r="V251" s="43">
        <v>46387</v>
      </c>
      <c r="W251" s="91">
        <v>12600</v>
      </c>
      <c r="X251" s="47">
        <v>63000</v>
      </c>
      <c r="Y251" s="57" t="s">
        <v>72</v>
      </c>
      <c r="Z251" s="58" t="s">
        <v>793</v>
      </c>
    </row>
    <row r="252" spans="2:26" ht="15.75" customHeight="1" x14ac:dyDescent="0.2">
      <c r="B252" s="63"/>
      <c r="C252" s="77"/>
      <c r="D252" s="77"/>
      <c r="E252" s="77"/>
      <c r="F252" s="78"/>
      <c r="G252" s="78"/>
      <c r="H252" s="78"/>
      <c r="I252" s="78"/>
      <c r="J252" s="78"/>
      <c r="K252" s="78"/>
      <c r="L252" s="77"/>
      <c r="M252" s="79"/>
      <c r="N252" s="77"/>
      <c r="O252" s="77"/>
      <c r="P252" s="78"/>
      <c r="Q252" s="78"/>
      <c r="R252" s="80"/>
      <c r="S252" s="81"/>
      <c r="T252" s="81"/>
      <c r="U252" s="81"/>
      <c r="V252" s="81" t="s">
        <v>494</v>
      </c>
      <c r="W252" s="24">
        <f>SUBTOTAL(9,W17:W251)</f>
        <v>68603112.799999982</v>
      </c>
    </row>
    <row r="253" spans="2:26" ht="15.75" customHeight="1" x14ac:dyDescent="0.2">
      <c r="W253" s="41"/>
    </row>
    <row r="254" spans="2:26" ht="15.75" customHeight="1" x14ac:dyDescent="0.2">
      <c r="C254" s="3" t="s">
        <v>270</v>
      </c>
      <c r="D254" s="3"/>
      <c r="E254" s="28"/>
      <c r="L254" s="3"/>
      <c r="M254" s="3"/>
      <c r="N254" s="3"/>
      <c r="O254" s="3"/>
      <c r="P254" s="8"/>
      <c r="Q254" s="5"/>
      <c r="R254" s="6"/>
      <c r="S254" s="6"/>
      <c r="T254" s="6"/>
      <c r="U254" s="6"/>
      <c r="V254" s="6"/>
    </row>
    <row r="255" spans="2:26" ht="15.75" customHeight="1" x14ac:dyDescent="0.2">
      <c r="C255" s="3"/>
      <c r="D255" s="29" t="s">
        <v>271</v>
      </c>
      <c r="E255" s="30" t="s">
        <v>272</v>
      </c>
      <c r="L255" s="3"/>
      <c r="M255" s="3"/>
      <c r="N255" s="3"/>
      <c r="O255" s="3"/>
      <c r="P255" s="8"/>
      <c r="Q255" s="5"/>
      <c r="R255" s="6"/>
      <c r="S255" s="6"/>
      <c r="T255" s="6"/>
      <c r="U255" s="6"/>
      <c r="V255" s="6"/>
    </row>
    <row r="256" spans="2:26" ht="15.75" customHeight="1" x14ac:dyDescent="0.2">
      <c r="C256" s="3"/>
      <c r="D256" s="3" t="s">
        <v>273</v>
      </c>
      <c r="E256" s="102" t="s">
        <v>274</v>
      </c>
      <c r="F256" s="102"/>
      <c r="G256" s="102"/>
      <c r="H256" s="102"/>
      <c r="I256" s="102"/>
      <c r="J256" s="102"/>
      <c r="K256" s="102"/>
      <c r="L256" s="102"/>
      <c r="M256" s="102"/>
      <c r="N256" s="102"/>
      <c r="O256" s="102"/>
      <c r="P256" s="102"/>
      <c r="Q256" s="102"/>
      <c r="R256" s="102"/>
      <c r="S256" s="102"/>
      <c r="T256" s="26"/>
      <c r="U256" s="26"/>
      <c r="V256" s="26"/>
    </row>
    <row r="257" spans="3:23" ht="12.75" x14ac:dyDescent="0.2">
      <c r="C257" s="3"/>
      <c r="D257" s="3" t="s">
        <v>275</v>
      </c>
      <c r="E257" s="99" t="s">
        <v>439</v>
      </c>
      <c r="F257" s="99"/>
      <c r="G257" s="99"/>
      <c r="H257" s="99"/>
      <c r="I257" s="99"/>
      <c r="J257" s="99"/>
      <c r="K257" s="99"/>
      <c r="L257" s="99"/>
      <c r="M257" s="99"/>
      <c r="N257" s="99"/>
      <c r="O257" s="99"/>
      <c r="P257" s="99"/>
      <c r="Q257" s="99"/>
      <c r="R257" s="99"/>
      <c r="S257" s="99"/>
      <c r="T257" s="26"/>
      <c r="U257" s="26"/>
      <c r="V257" s="26"/>
    </row>
    <row r="258" spans="3:23" ht="12.75" x14ac:dyDescent="0.2">
      <c r="C258" s="3"/>
      <c r="D258" s="3"/>
      <c r="E258" s="3"/>
      <c r="L258" s="3"/>
      <c r="M258" s="3"/>
      <c r="N258" s="3"/>
      <c r="O258" s="3"/>
      <c r="P258" s="8"/>
      <c r="Q258" s="5"/>
      <c r="R258" s="6"/>
      <c r="S258" s="6"/>
      <c r="T258" s="6"/>
      <c r="U258" s="6"/>
      <c r="V258" s="6"/>
      <c r="W258" s="41"/>
    </row>
    <row r="259" spans="3:23" ht="15.75" customHeight="1" x14ac:dyDescent="0.2">
      <c r="C259" s="3"/>
      <c r="D259" s="3"/>
      <c r="E259" s="3"/>
      <c r="L259" s="3"/>
      <c r="M259" s="3"/>
      <c r="N259" s="3"/>
      <c r="O259" s="3"/>
      <c r="P259" s="8"/>
      <c r="Q259" s="5"/>
      <c r="R259" s="6"/>
      <c r="S259" s="6"/>
      <c r="T259" s="6"/>
      <c r="U259" s="6"/>
      <c r="V259" s="6"/>
    </row>
    <row r="260" spans="3:23" ht="57.75" customHeight="1" x14ac:dyDescent="0.2">
      <c r="C260" s="3"/>
      <c r="D260" s="3"/>
      <c r="E260" s="3"/>
      <c r="F260" s="31" t="s">
        <v>276</v>
      </c>
      <c r="G260" s="31" t="s">
        <v>277</v>
      </c>
      <c r="H260" s="31" t="s">
        <v>278</v>
      </c>
      <c r="I260" s="31" t="s">
        <v>279</v>
      </c>
      <c r="J260" s="31" t="s">
        <v>280</v>
      </c>
      <c r="K260" s="31" t="s">
        <v>281</v>
      </c>
      <c r="L260" s="31" t="s">
        <v>282</v>
      </c>
      <c r="M260" s="31" t="s">
        <v>283</v>
      </c>
      <c r="N260" s="3"/>
      <c r="O260" s="3"/>
      <c r="P260" s="8"/>
      <c r="Q260" s="5"/>
      <c r="R260" s="6"/>
      <c r="S260" s="6"/>
      <c r="T260" s="6"/>
      <c r="U260" s="6"/>
      <c r="V260" s="6"/>
    </row>
    <row r="261" spans="3:23" ht="15.75" customHeight="1" x14ac:dyDescent="0.25">
      <c r="C261" s="3"/>
      <c r="D261" s="3"/>
      <c r="E261" s="3"/>
      <c r="F261" s="32" t="s">
        <v>8</v>
      </c>
      <c r="G261" s="93">
        <v>41848901</v>
      </c>
      <c r="H261" s="93">
        <v>1115918</v>
      </c>
      <c r="I261" s="33">
        <v>0</v>
      </c>
      <c r="J261" s="33">
        <v>0</v>
      </c>
      <c r="K261" s="33">
        <v>0</v>
      </c>
      <c r="L261" s="33">
        <v>0</v>
      </c>
      <c r="M261" s="33">
        <v>0</v>
      </c>
      <c r="N261" s="3"/>
      <c r="O261" s="3"/>
      <c r="P261" s="8"/>
      <c r="Q261" s="5"/>
      <c r="R261" s="6"/>
      <c r="S261" s="6"/>
      <c r="T261" s="6"/>
      <c r="U261" s="6"/>
      <c r="V261" s="6"/>
    </row>
    <row r="262" spans="3:23" ht="15.75" customHeight="1" x14ac:dyDescent="0.25">
      <c r="C262" s="3"/>
      <c r="D262" s="3"/>
      <c r="E262" s="3"/>
      <c r="F262" s="34" t="s">
        <v>9</v>
      </c>
      <c r="G262" s="93">
        <v>25638293</v>
      </c>
      <c r="H262" s="93">
        <v>0</v>
      </c>
      <c r="I262" s="33">
        <v>0</v>
      </c>
      <c r="J262" s="33">
        <v>0</v>
      </c>
      <c r="K262" s="33">
        <v>0</v>
      </c>
      <c r="L262" s="33">
        <v>0</v>
      </c>
      <c r="M262" s="33">
        <v>0</v>
      </c>
      <c r="N262" s="3"/>
      <c r="O262" s="3"/>
      <c r="P262" s="8"/>
      <c r="Q262" s="5"/>
      <c r="R262" s="6"/>
      <c r="S262" s="6"/>
      <c r="T262" s="6"/>
      <c r="U262" s="6"/>
      <c r="V262" s="6"/>
    </row>
    <row r="263" spans="3:23" ht="15.75" customHeight="1" x14ac:dyDescent="0.3">
      <c r="C263" s="3"/>
      <c r="D263" s="3"/>
      <c r="E263" s="3"/>
      <c r="F263" s="35" t="s">
        <v>284</v>
      </c>
      <c r="G263" s="94">
        <f>SUM(G261:G262)</f>
        <v>67487194</v>
      </c>
      <c r="H263" s="94">
        <f>SUM(H261:H262)</f>
        <v>1115918</v>
      </c>
      <c r="I263" s="36">
        <f t="shared" ref="I263:M263" si="5">SUM(I261:I262)</f>
        <v>0</v>
      </c>
      <c r="J263" s="36">
        <f t="shared" si="5"/>
        <v>0</v>
      </c>
      <c r="K263" s="36">
        <f t="shared" si="5"/>
        <v>0</v>
      </c>
      <c r="L263" s="36">
        <f t="shared" si="5"/>
        <v>0</v>
      </c>
      <c r="M263" s="36">
        <f t="shared" si="5"/>
        <v>0</v>
      </c>
      <c r="N263" s="3"/>
      <c r="O263" s="3"/>
      <c r="P263" s="8"/>
      <c r="Q263" s="5"/>
      <c r="R263" s="6"/>
      <c r="S263" s="6"/>
      <c r="T263" s="6"/>
      <c r="U263" s="6"/>
      <c r="V263" s="6"/>
    </row>
    <row r="264" spans="3:23" ht="15.75" customHeight="1" x14ac:dyDescent="0.2">
      <c r="H264" s="8"/>
    </row>
    <row r="267" spans="3:23" ht="15.75" customHeight="1" x14ac:dyDescent="0.2">
      <c r="H267" s="89"/>
    </row>
  </sheetData>
  <autoFilter ref="A16:Z251" xr:uid="{00000000-0009-0000-0000-000000000000}"/>
  <dataConsolidate link="1"/>
  <mergeCells count="13">
    <mergeCell ref="B2:X2"/>
    <mergeCell ref="E257:S257"/>
    <mergeCell ref="C4:F4"/>
    <mergeCell ref="C6:F6"/>
    <mergeCell ref="C8:F8"/>
    <mergeCell ref="E256:S256"/>
    <mergeCell ref="C10:F10"/>
    <mergeCell ref="C12:F12"/>
    <mergeCell ref="G4:I4"/>
    <mergeCell ref="G6:I6"/>
    <mergeCell ref="G8:I8"/>
    <mergeCell ref="G10:I10"/>
    <mergeCell ref="G12:I12"/>
  </mergeCells>
  <phoneticPr fontId="21" type="noConversion"/>
  <dataValidations count="11">
    <dataValidation type="list" allowBlank="1" showInputMessage="1" showErrorMessage="1" sqref="E136 E70:E127 E129:E133 E17:E66 E152" xr:uid="{00000000-0002-0000-0000-000000000000}">
      <formula1>INDIRECT($D17)</formula1>
    </dataValidation>
    <dataValidation type="list" allowBlank="1" showInputMessage="1" showErrorMessage="1" sqref="E128 E67:E69 D17:D133 D152" xr:uid="{00000000-0002-0000-0000-000001000000}">
      <formula1>IF($C17="SUBAD",GESUBAD, IF($C17="SUBAP",GESUBAP,IF($C17="SUBGES", GESUBGES, GEGABSEC)))</formula1>
    </dataValidation>
    <dataValidation allowBlank="1" showInputMessage="1" showErrorMessage="1" prompt="Formato 99/99/9999 (dia, mês e ano)." sqref="S16:V16" xr:uid="{00000000-0002-0000-0000-000002000000}"/>
    <dataValidation allowBlank="1" showInputMessage="1" showErrorMessage="1" prompt="Campo de preenchimento opcional." sqref="I16 K16 N16:O16" xr:uid="{00000000-0002-0000-0000-000003000000}"/>
    <dataValidation allowBlank="1" showInputMessage="1" showErrorMessage="1" prompt="Campo de uso exclusivo do setor orçamentário." sqref="F16:H16 J16" xr:uid="{00000000-0002-0000-0000-000004000000}"/>
    <dataValidation type="list" allowBlank="1" showInputMessage="1" showErrorMessage="1" sqref="G6" xr:uid="{00000000-0002-0000-0000-000005000000}">
      <formula1>UNIDG</formula1>
    </dataValidation>
    <dataValidation type="list" allowBlank="1" showInputMessage="1" showErrorMessage="1" sqref="G4" xr:uid="{00000000-0002-0000-0000-000006000000}">
      <formula1>ORGENT</formula1>
    </dataValidation>
    <dataValidation type="list" allowBlank="1" showInputMessage="1" showErrorMessage="1" sqref="O17:O251" xr:uid="{00000000-0002-0000-0000-000007000000}">
      <formula1>FORMEXEC</formula1>
    </dataValidation>
    <dataValidation type="list" allowBlank="1" showInputMessage="1" showErrorMessage="1" sqref="N17:N251" xr:uid="{00000000-0002-0000-0000-000008000000}">
      <formula1>TIPOCONT</formula1>
    </dataValidation>
    <dataValidation type="list" allowBlank="1" showInputMessage="1" showErrorMessage="1" sqref="Q17:Q251" xr:uid="{00000000-0002-0000-0000-000009000000}">
      <formula1>UNIDADE</formula1>
    </dataValidation>
    <dataValidation type="list" allowBlank="1" showInputMessage="1" showErrorMessage="1" sqref="L17:L251" xr:uid="{00000000-0002-0000-0000-00000A000000}">
      <formula1>TIPOFONTE</formula1>
    </dataValidation>
  </dataValidations>
  <printOptions horizontalCentered="1"/>
  <pageMargins left="0.11811023622047245" right="0.11811023622047245" top="0.59055118110236227" bottom="0.59055118110236227" header="0.19685039370078741" footer="0.19685039370078741"/>
  <pageSetup paperSize="8" scale="29" firstPageNumber="9" fitToHeight="0" orientation="landscape" useFirstPageNumber="1" r:id="rId1"/>
  <headerFooter>
    <oddHeader>&amp;LSecretaria de Estado de Gestão e Recursos Humanos - SEGER</oddHeader>
    <oddFooter>&amp;L&amp;D às &amp;Th&amp;CPágina &amp;P de 12</oddFooter>
  </headerFooter>
  <ignoredErrors>
    <ignoredError sqref="M17:M227 B17:B2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1"/>
  <dimension ref="A1:A60"/>
  <sheetViews>
    <sheetView topLeftCell="B1" workbookViewId="0">
      <selection activeCell="A8" sqref="A1:A1048576"/>
    </sheetView>
  </sheetViews>
  <sheetFormatPr defaultRowHeight="12.75" x14ac:dyDescent="0.2"/>
  <cols>
    <col min="1" max="1" width="9.140625" hidden="1" customWidth="1"/>
  </cols>
  <sheetData>
    <row r="1" spans="1:1" ht="12.75" customHeight="1" x14ac:dyDescent="0.2">
      <c r="A1" s="2" t="str">
        <f>IFERROR(IF(INDEX(#REF!,MATCH(LEFT(#REF!,6),#REF!,0))&lt;&gt;"",INDEX(#REF!,MATCH(LEFT(#REF!,6),#REF!,0)),""),"")</f>
        <v/>
      </c>
    </row>
    <row r="2" spans="1:1" x14ac:dyDescent="0.2">
      <c r="A2" s="2" t="str">
        <f>IFERROR(IF(INDEX(#REF!,MATCH(LEFT(#REF!,6),#REF!,0))&lt;&gt;"",INDEX(#REF!,MATCH(LEFT(#REF!,6),#REF!,0)),""),"")</f>
        <v/>
      </c>
    </row>
    <row r="3" spans="1:1" x14ac:dyDescent="0.2">
      <c r="A3" s="2" t="str">
        <f>IFERROR(IF(INDEX(#REF!,MATCH(LEFT(#REF!,6),#REF!,0))&lt;&gt;"",INDEX(#REF!,MATCH(LEFT(#REF!,6),#REF!,0)),""),"")</f>
        <v/>
      </c>
    </row>
    <row r="4" spans="1:1" x14ac:dyDescent="0.2">
      <c r="A4" s="2" t="str">
        <f>IFERROR(IF(INDEX(#REF!,MATCH(LEFT(#REF!,6),#REF!,0))&lt;&gt;"",INDEX(#REF!,MATCH(LEFT(#REF!,6),#REF!,0)),""),"")</f>
        <v/>
      </c>
    </row>
    <row r="5" spans="1:1" x14ac:dyDescent="0.2">
      <c r="A5" s="2" t="str">
        <f>IFERROR(IF(INDEX(#REF!,MATCH(LEFT(#REF!,6),#REF!,0))&lt;&gt;"",INDEX(#REF!,MATCH(LEFT(#REF!,6),#REF!,0)),""),"")</f>
        <v/>
      </c>
    </row>
    <row r="6" spans="1:1" x14ac:dyDescent="0.2">
      <c r="A6" s="2" t="str">
        <f>IFERROR(IF(INDEX(#REF!,MATCH(LEFT(#REF!,6),#REF!,0))&lt;&gt;"",INDEX(#REF!,MATCH(LEFT(#REF!,6),#REF!,0)),""),"")</f>
        <v/>
      </c>
    </row>
    <row r="7" spans="1:1" x14ac:dyDescent="0.2">
      <c r="A7" s="2" t="str">
        <f>IFERROR(IF(INDEX(#REF!,MATCH(LEFT(#REF!,6),#REF!,0))&lt;&gt;"",INDEX(#REF!,MATCH(LEFT(#REF!,6),#REF!,0)),""),"")</f>
        <v/>
      </c>
    </row>
    <row r="8" spans="1:1" x14ac:dyDescent="0.2">
      <c r="A8" s="2" t="str">
        <f>IFERROR(IF(INDEX(#REF!,MATCH(LEFT(#REF!,6),#REF!,0))&lt;&gt;"",INDEX(#REF!,MATCH(LEFT(#REF!,6),#REF!,0)),""),"")</f>
        <v/>
      </c>
    </row>
    <row r="9" spans="1:1" x14ac:dyDescent="0.2">
      <c r="A9" s="2" t="str">
        <f>IFERROR(IF(INDEX(#REF!,MATCH(LEFT(#REF!,6),#REF!,0))&lt;&gt;"",INDEX(#REF!,MATCH(LEFT(#REF!,6),#REF!,0)),""),"")</f>
        <v/>
      </c>
    </row>
    <row r="10" spans="1:1" x14ac:dyDescent="0.2">
      <c r="A10" s="2" t="str">
        <f>IFERROR(IF(INDEX(#REF!,MATCH(LEFT(#REF!,6),#REF!,0))&lt;&gt;"",INDEX(#REF!,MATCH(LEFT(#REF!,6),#REF!,0)),""),"")</f>
        <v/>
      </c>
    </row>
    <row r="11" spans="1:1" x14ac:dyDescent="0.2">
      <c r="A11" s="2" t="str">
        <f>IFERROR(IF(INDEX(#REF!,MATCH(LEFT(#REF!,6),#REF!,0))&lt;&gt;"",INDEX(#REF!,MATCH(LEFT(#REF!,6),#REF!,0)),""),"")</f>
        <v/>
      </c>
    </row>
    <row r="12" spans="1:1" x14ac:dyDescent="0.2">
      <c r="A12" s="2" t="str">
        <f>IFERROR(IF(INDEX(#REF!,MATCH(LEFT(#REF!,6),#REF!,0))&lt;&gt;"",INDEX(#REF!,MATCH(LEFT(#REF!,6),#REF!,0)),""),"")</f>
        <v/>
      </c>
    </row>
    <row r="13" spans="1:1" x14ac:dyDescent="0.2">
      <c r="A13" s="2" t="str">
        <f>IFERROR(IF(INDEX(#REF!,MATCH(LEFT(#REF!,6),#REF!,0))&lt;&gt;"",INDEX(#REF!,MATCH(LEFT(#REF!,6),#REF!,0)),""),"")</f>
        <v/>
      </c>
    </row>
    <row r="14" spans="1:1" x14ac:dyDescent="0.2">
      <c r="A14" s="2" t="str">
        <f>IFERROR(IF(INDEX(#REF!,MATCH(LEFT(#REF!,6),#REF!,0))&lt;&gt;"",INDEX(#REF!,MATCH(LEFT(#REF!,6),#REF!,0)),""),"")</f>
        <v/>
      </c>
    </row>
    <row r="15" spans="1:1" x14ac:dyDescent="0.2">
      <c r="A15" s="2" t="str">
        <f>IFERROR(IF(INDEX(#REF!,MATCH(LEFT(#REF!,6),#REF!,0))&lt;&gt;"",INDEX(#REF!,MATCH(LEFT(#REF!,6),#REF!,0)),""),"")</f>
        <v/>
      </c>
    </row>
    <row r="16" spans="1:1" x14ac:dyDescent="0.2">
      <c r="A16" s="2" t="str">
        <f>IFERROR(IF(INDEX(#REF!,MATCH(LEFT(#REF!,6),#REF!,0))&lt;&gt;"",INDEX(#REF!,MATCH(LEFT(#REF!,6),#REF!,0)),""),"")</f>
        <v/>
      </c>
    </row>
    <row r="17" spans="1:1" x14ac:dyDescent="0.2">
      <c r="A17" s="2" t="str">
        <f>IFERROR(IF(INDEX(#REF!,MATCH(LEFT(#REF!,6),#REF!,0))&lt;&gt;"",INDEX(#REF!,MATCH(LEFT(#REF!,6),#REF!,0)),""),"")</f>
        <v/>
      </c>
    </row>
    <row r="18" spans="1:1" x14ac:dyDescent="0.2">
      <c r="A18" s="2" t="str">
        <f>IFERROR(IF(INDEX(#REF!,MATCH(LEFT(#REF!,6),#REF!,0))&lt;&gt;"",INDEX(#REF!,MATCH(LEFT(#REF!,6),#REF!,0)),""),"")</f>
        <v/>
      </c>
    </row>
    <row r="19" spans="1:1" x14ac:dyDescent="0.2">
      <c r="A19" s="2" t="str">
        <f>IFERROR(IF(INDEX(#REF!,MATCH(LEFT(#REF!,6),#REF!,0))&lt;&gt;"",INDEX(#REF!,MATCH(LEFT(#REF!,6),#REF!,0)),""),"")</f>
        <v/>
      </c>
    </row>
    <row r="20" spans="1:1" x14ac:dyDescent="0.2">
      <c r="A20" s="2" t="str">
        <f>IFERROR(IF(INDEX(#REF!,MATCH(LEFT(#REF!,6),#REF!,0))&lt;&gt;"",INDEX(#REF!,MATCH(LEFT(#REF!,6),#REF!,0)),""),"")</f>
        <v/>
      </c>
    </row>
    <row r="21" spans="1:1" x14ac:dyDescent="0.2">
      <c r="A21" s="2" t="str">
        <f>IFERROR(IF(INDEX(#REF!,MATCH(LEFT(#REF!,6),#REF!,0))&lt;&gt;"",INDEX(#REF!,MATCH(LEFT(#REF!,6),#REF!,0)),""),"")</f>
        <v/>
      </c>
    </row>
    <row r="22" spans="1:1" x14ac:dyDescent="0.2">
      <c r="A22" s="2" t="str">
        <f>IFERROR(IF(INDEX(#REF!,MATCH(LEFT(#REF!,6),#REF!,0))&lt;&gt;"",INDEX(#REF!,MATCH(LEFT(#REF!,6),#REF!,0)),""),"")</f>
        <v/>
      </c>
    </row>
    <row r="23" spans="1:1" x14ac:dyDescent="0.2">
      <c r="A23" s="2" t="str">
        <f>IFERROR(IF(INDEX(#REF!,MATCH(LEFT(#REF!,6),#REF!,0))&lt;&gt;"",INDEX(#REF!,MATCH(LEFT(#REF!,6),#REF!,0)),""),"")</f>
        <v/>
      </c>
    </row>
    <row r="24" spans="1:1" x14ac:dyDescent="0.2">
      <c r="A24" s="2" t="str">
        <f>IFERROR(IF(INDEX(#REF!,MATCH(LEFT(#REF!,6),#REF!,0))&lt;&gt;"",INDEX(#REF!,MATCH(LEFT(#REF!,6),#REF!,0)),""),"")</f>
        <v/>
      </c>
    </row>
    <row r="25" spans="1:1" x14ac:dyDescent="0.2">
      <c r="A25" s="2" t="str">
        <f>IFERROR(IF(INDEX(#REF!,MATCH(LEFT(#REF!,6),#REF!,0))&lt;&gt;"",INDEX(#REF!,MATCH(LEFT(#REF!,6),#REF!,0)),""),"")</f>
        <v/>
      </c>
    </row>
    <row r="26" spans="1:1" x14ac:dyDescent="0.2">
      <c r="A26" s="2" t="str">
        <f>IFERROR(IF(INDEX(#REF!,MATCH(LEFT(#REF!,6),#REF!,0))&lt;&gt;"",INDEX(#REF!,MATCH(LEFT(#REF!,6),#REF!,0)),""),"")</f>
        <v/>
      </c>
    </row>
    <row r="27" spans="1:1" x14ac:dyDescent="0.2">
      <c r="A27" s="2" t="str">
        <f>IFERROR(IF(INDEX(#REF!,MATCH(LEFT(#REF!,6),#REF!,0))&lt;&gt;"",INDEX(#REF!,MATCH(LEFT(#REF!,6),#REF!,0)),""),"")</f>
        <v/>
      </c>
    </row>
    <row r="28" spans="1:1" x14ac:dyDescent="0.2">
      <c r="A28" s="2" t="str">
        <f>IFERROR(IF(INDEX(#REF!,MATCH(LEFT(#REF!,6),#REF!,0))&lt;&gt;"",INDEX(#REF!,MATCH(LEFT(#REF!,6),#REF!,0)),""),"")</f>
        <v/>
      </c>
    </row>
    <row r="29" spans="1:1" x14ac:dyDescent="0.2">
      <c r="A29" s="2" t="str">
        <f>IFERROR(IF(INDEX(#REF!,MATCH(LEFT(#REF!,6),#REF!,0))&lt;&gt;"",INDEX(#REF!,MATCH(LEFT(#REF!,6),#REF!,0)),""),"")</f>
        <v/>
      </c>
    </row>
    <row r="30" spans="1:1" x14ac:dyDescent="0.2">
      <c r="A30" s="2" t="str">
        <f>IFERROR(IF(INDEX(#REF!,MATCH(LEFT(#REF!,6),#REF!,0))&lt;&gt;"",INDEX(#REF!,MATCH(LEFT(#REF!,6),#REF!,0)),""),"")</f>
        <v/>
      </c>
    </row>
    <row r="31" spans="1:1" x14ac:dyDescent="0.2">
      <c r="A31" s="2" t="str">
        <f>IFERROR(IF(INDEX(#REF!,MATCH(LEFT(#REF!,6),#REF!,0))&lt;&gt;"",INDEX(#REF!,MATCH(LEFT(#REF!,6),#REF!,0)),""),"")</f>
        <v/>
      </c>
    </row>
    <row r="32" spans="1:1" x14ac:dyDescent="0.2">
      <c r="A32" s="2" t="str">
        <f>IFERROR(IF(INDEX(#REF!,MATCH(LEFT(#REF!,6),#REF!,0))&lt;&gt;"",INDEX(#REF!,MATCH(LEFT(#REF!,6),#REF!,0)),""),"")</f>
        <v/>
      </c>
    </row>
    <row r="33" spans="1:1" x14ac:dyDescent="0.2">
      <c r="A33" s="2" t="str">
        <f>IFERROR(IF(INDEX(#REF!,MATCH(LEFT(#REF!,6),#REF!,0))&lt;&gt;"",INDEX(#REF!,MATCH(LEFT(#REF!,6),#REF!,0)),""),"")</f>
        <v/>
      </c>
    </row>
    <row r="34" spans="1:1" x14ac:dyDescent="0.2">
      <c r="A34" s="2" t="str">
        <f>IFERROR(IF(INDEX(#REF!,MATCH(LEFT(#REF!,6),#REF!,0))&lt;&gt;"",INDEX(#REF!,MATCH(LEFT(#REF!,6),#REF!,0)),""),"")</f>
        <v/>
      </c>
    </row>
    <row r="35" spans="1:1" x14ac:dyDescent="0.2">
      <c r="A35" s="2" t="str">
        <f>IFERROR(IF(INDEX(#REF!,MATCH(LEFT(#REF!,6),#REF!,0))&lt;&gt;"",INDEX(#REF!,MATCH(LEFT(#REF!,6),#REF!,0)),""),"")</f>
        <v/>
      </c>
    </row>
    <row r="36" spans="1:1" x14ac:dyDescent="0.2">
      <c r="A36" s="2" t="str">
        <f>IFERROR(IF(INDEX(#REF!,MATCH(LEFT(#REF!,6),#REF!,0))&lt;&gt;"",INDEX(#REF!,MATCH(LEFT(#REF!,6),#REF!,0)),""),"")</f>
        <v/>
      </c>
    </row>
    <row r="37" spans="1:1" x14ac:dyDescent="0.2">
      <c r="A37" s="2" t="str">
        <f>IFERROR(IF(INDEX(#REF!,MATCH(LEFT(#REF!,6),#REF!,0))&lt;&gt;"",INDEX(#REF!,MATCH(LEFT(#REF!,6),#REF!,0)),""),"")</f>
        <v/>
      </c>
    </row>
    <row r="38" spans="1:1" x14ac:dyDescent="0.2">
      <c r="A38" s="2" t="str">
        <f>IFERROR(IF(INDEX(#REF!,MATCH(LEFT(#REF!,6),#REF!,0))&lt;&gt;"",INDEX(#REF!,MATCH(LEFT(#REF!,6),#REF!,0)),""),"")</f>
        <v/>
      </c>
    </row>
    <row r="39" spans="1:1" x14ac:dyDescent="0.2">
      <c r="A39" s="2" t="str">
        <f>IFERROR(IF(INDEX(#REF!,MATCH(LEFT(#REF!,6),#REF!,0))&lt;&gt;"",INDEX(#REF!,MATCH(LEFT(#REF!,6),#REF!,0)),""),"")</f>
        <v/>
      </c>
    </row>
    <row r="40" spans="1:1" x14ac:dyDescent="0.2">
      <c r="A40" s="2" t="str">
        <f>IFERROR(IF(INDEX(#REF!,MATCH(LEFT(#REF!,6),#REF!,0))&lt;&gt;"",INDEX(#REF!,MATCH(LEFT(#REF!,6),#REF!,0)),""),"")</f>
        <v/>
      </c>
    </row>
    <row r="41" spans="1:1" x14ac:dyDescent="0.2">
      <c r="A41" s="2" t="str">
        <f>IFERROR(IF(INDEX(#REF!,MATCH(LEFT(#REF!,6),#REF!,0))&lt;&gt;"",INDEX(#REF!,MATCH(LEFT(#REF!,6),#REF!,0)),""),"")</f>
        <v/>
      </c>
    </row>
    <row r="42" spans="1:1" x14ac:dyDescent="0.2">
      <c r="A42" s="2" t="str">
        <f>IFERROR(IF(INDEX(#REF!,MATCH(LEFT(#REF!,6),#REF!,0))&lt;&gt;"",INDEX(#REF!,MATCH(LEFT(#REF!,6),#REF!,0)),""),"")</f>
        <v/>
      </c>
    </row>
    <row r="43" spans="1:1" x14ac:dyDescent="0.2">
      <c r="A43" s="2" t="str">
        <f>IFERROR(IF(INDEX(#REF!,MATCH(LEFT(#REF!,6),#REF!,0))&lt;&gt;"",INDEX(#REF!,MATCH(LEFT(#REF!,6),#REF!,0)),""),"")</f>
        <v/>
      </c>
    </row>
    <row r="44" spans="1:1" x14ac:dyDescent="0.2">
      <c r="A44" s="2" t="str">
        <f>IFERROR(IF(INDEX(#REF!,MATCH(LEFT(#REF!,6),#REF!,0))&lt;&gt;"",INDEX(#REF!,MATCH(LEFT(#REF!,6),#REF!,0)),""),"")</f>
        <v/>
      </c>
    </row>
    <row r="45" spans="1:1" x14ac:dyDescent="0.2">
      <c r="A45" s="2" t="str">
        <f>IFERROR(IF(INDEX(#REF!,MATCH(LEFT(#REF!,6),#REF!,0))&lt;&gt;"",INDEX(#REF!,MATCH(LEFT(#REF!,6),#REF!,0)),""),"")</f>
        <v/>
      </c>
    </row>
    <row r="46" spans="1:1" x14ac:dyDescent="0.2">
      <c r="A46" s="2" t="str">
        <f>IFERROR(IF(INDEX(#REF!,MATCH(LEFT(#REF!,6),#REF!,0))&lt;&gt;"",INDEX(#REF!,MATCH(LEFT(#REF!,6),#REF!,0)),""),"")</f>
        <v/>
      </c>
    </row>
    <row r="47" spans="1:1" x14ac:dyDescent="0.2">
      <c r="A47" s="2" t="str">
        <f>IFERROR(IF(INDEX(#REF!,MATCH(LEFT(#REF!,6),#REF!,0))&lt;&gt;"",INDEX(#REF!,MATCH(LEFT(#REF!,6),#REF!,0)),""),"")</f>
        <v/>
      </c>
    </row>
    <row r="48" spans="1:1" x14ac:dyDescent="0.2">
      <c r="A48" s="2" t="str">
        <f>IFERROR(IF(INDEX(#REF!,MATCH(LEFT(#REF!,6),#REF!,0))&lt;&gt;"",INDEX(#REF!,MATCH(LEFT(#REF!,6),#REF!,0)),""),"")</f>
        <v/>
      </c>
    </row>
    <row r="49" spans="1:1" x14ac:dyDescent="0.2">
      <c r="A49" s="2" t="str">
        <f>IFERROR(IF(INDEX(#REF!,MATCH(LEFT(#REF!,6),#REF!,0))&lt;&gt;"",INDEX(#REF!,MATCH(LEFT(#REF!,6),#REF!,0)),""),"")</f>
        <v/>
      </c>
    </row>
    <row r="50" spans="1:1" x14ac:dyDescent="0.2">
      <c r="A50" s="2" t="str">
        <f>IFERROR(IF(INDEX(#REF!,MATCH(LEFT(#REF!,6),#REF!,0))&lt;&gt;"",INDEX(#REF!,MATCH(LEFT(#REF!,6),#REF!,0)),""),"")</f>
        <v/>
      </c>
    </row>
    <row r="51" spans="1:1" x14ac:dyDescent="0.2">
      <c r="A51" s="2" t="str">
        <f>IFERROR(IF(INDEX(#REF!,MATCH(LEFT(#REF!,6),#REF!,0))&lt;&gt;"",INDEX(#REF!,MATCH(LEFT(#REF!,6),#REF!,0)),""),"")</f>
        <v/>
      </c>
    </row>
    <row r="52" spans="1:1" x14ac:dyDescent="0.2">
      <c r="A52" s="2" t="str">
        <f>IFERROR(IF(INDEX(#REF!,MATCH(LEFT(#REF!,6),#REF!,0))&lt;&gt;"",INDEX(#REF!,MATCH(LEFT(#REF!,6),#REF!,0)),""),"")</f>
        <v/>
      </c>
    </row>
    <row r="53" spans="1:1" x14ac:dyDescent="0.2">
      <c r="A53" s="2" t="str">
        <f>IFERROR(IF(INDEX(#REF!,MATCH(LEFT(#REF!,6),#REF!,0))&lt;&gt;"",INDEX(#REF!,MATCH(LEFT(#REF!,6),#REF!,0)),""),"")</f>
        <v/>
      </c>
    </row>
    <row r="54" spans="1:1" x14ac:dyDescent="0.2">
      <c r="A54" s="2" t="str">
        <f>IFERROR(IF(INDEX(#REF!,MATCH(LEFT(#REF!,6),#REF!,0))&lt;&gt;"",INDEX(#REF!,MATCH(LEFT(#REF!,6),#REF!,0)),""),"")</f>
        <v/>
      </c>
    </row>
    <row r="55" spans="1:1" x14ac:dyDescent="0.2">
      <c r="A55" s="2" t="str">
        <f>IFERROR(IF(INDEX(#REF!,MATCH(LEFT(#REF!,6),#REF!,0))&lt;&gt;"",INDEX(#REF!,MATCH(LEFT(#REF!,6),#REF!,0)),""),"")</f>
        <v/>
      </c>
    </row>
    <row r="56" spans="1:1" x14ac:dyDescent="0.2">
      <c r="A56" s="2" t="str">
        <f>IFERROR(IF(INDEX(#REF!,MATCH(LEFT(#REF!,6),#REF!,0))&lt;&gt;"",INDEX(#REF!,MATCH(LEFT(#REF!,6),#REF!,0)),""),"")</f>
        <v/>
      </c>
    </row>
    <row r="57" spans="1:1" x14ac:dyDescent="0.2">
      <c r="A57" s="2" t="str">
        <f>IFERROR(IF(INDEX(#REF!,MATCH(LEFT(#REF!,6),#REF!,0))&lt;&gt;"",INDEX(#REF!,MATCH(LEFT(#REF!,6),#REF!,0)),""),"")</f>
        <v/>
      </c>
    </row>
    <row r="58" spans="1:1" x14ac:dyDescent="0.2">
      <c r="A58" s="2" t="str">
        <f>IFERROR(IF(INDEX(#REF!,MATCH(LEFT(#REF!,6),#REF!,0))&lt;&gt;"",INDEX(#REF!,MATCH(LEFT(#REF!,6),#REF!,0)),""),"")</f>
        <v/>
      </c>
    </row>
    <row r="59" spans="1:1" x14ac:dyDescent="0.2">
      <c r="A59" s="2" t="str">
        <f>IFERROR(IF(INDEX(#REF!,MATCH(LEFT(#REF!,6),#REF!,0))&lt;&gt;"",INDEX(#REF!,MATCH(LEFT(#REF!,6),#REF!,0)),""),"")</f>
        <v/>
      </c>
    </row>
    <row r="60" spans="1:1" x14ac:dyDescent="0.2">
      <c r="A60" s="2" t="str">
        <f>IFERROR(IF(INDEX(#REF!,MATCH(LEFT(#REF!,6),#REF!,0))&lt;&gt;"",INDEX(#REF!,MATCH(LEFT(#REF!,6),#REF!,0)),""),"")</f>
        <v/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PCA 2026 - 8ª Alteração</vt:lpstr>
      <vt:lpstr>'PCA 2026 - 8ª Alteração'!Area_de_impressao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Micaele Martins de Carvalho</dc:creator>
  <cp:lastModifiedBy>Marcia dos Santos Guimaraes</cp:lastModifiedBy>
  <cp:lastPrinted>2026-08-07T18:13:03Z</cp:lastPrinted>
  <dcterms:created xsi:type="dcterms:W3CDTF">2024-04-04T15:56:39Z</dcterms:created>
  <dcterms:modified xsi:type="dcterms:W3CDTF">2026-08-20T13:41:18Z</dcterms:modified>
</cp:coreProperties>
</file>